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allace\Desktop\2021 Budget\"/>
    </mc:Choice>
  </mc:AlternateContent>
  <xr:revisionPtr revIDLastSave="0" documentId="13_ncr:1_{AFFA4105-6A08-4D53-A247-DE4AC12157BE}" xr6:coauthVersionLast="47" xr6:coauthVersionMax="47" xr10:uidLastSave="{00000000-0000-0000-0000-000000000000}"/>
  <bookViews>
    <workbookView xWindow="3225" yWindow="1710" windowWidth="21600" windowHeight="11385" tabRatio="750" firstSheet="2" activeTab="2" xr2:uid="{00000000-000D-0000-FFFF-FFFF00000000}"/>
  </bookViews>
  <sheets>
    <sheet name=" Summary - General Fund (010)" sheetId="2" r:id="rId1"/>
    <sheet name="Worksheet - General Fund (010)" sheetId="8" r:id="rId2"/>
    <sheet name="Summary - PS Bldg Fund (040)" sheetId="24" r:id="rId3"/>
    <sheet name="Summary - Water Fund (020)" sheetId="14" r:id="rId4"/>
    <sheet name="Worksheet - Water Fund (020)" sheetId="13" r:id="rId5"/>
    <sheet name="Summary - Sewer Fund (021)" sheetId="19" r:id="rId6"/>
    <sheet name="Worksheet - Sewer Fund (021)" sheetId="18" r:id="rId7"/>
    <sheet name="Summary - Garbage Fund (022)" sheetId="22" r:id="rId8"/>
    <sheet name="Worksheet - Garbage Fund (022)" sheetId="23" r:id="rId9"/>
    <sheet name="Summary - Cap Improv (030)" sheetId="10" r:id="rId10"/>
    <sheet name="Worksheet - Cap Improv (030)" sheetId="9" r:id="rId11"/>
    <sheet name="Summary - Cons Trust (080)" sheetId="12" r:id="rId12"/>
    <sheet name="Worksheet - Cons Trust (080)" sheetId="11" r:id="rId13"/>
    <sheet name="Summary - Grand Theater (070)" sheetId="20" r:id="rId14"/>
    <sheet name="Worksheet - Grand Theater (070)" sheetId="21" r:id="rId15"/>
    <sheet name="Summary - Community Dev (110)" sheetId="29" r:id="rId16"/>
  </sheets>
  <externalReferences>
    <externalReference r:id="rId17"/>
  </externalReferences>
  <definedNames>
    <definedName name="_xlnm.Print_Titles" localSheetId="0">' Summary - General Fund (010)'!$4:$5</definedName>
    <definedName name="_xlnm.Print_Titles" localSheetId="9">'Summary - Cap Improv (030)'!$1:$5</definedName>
    <definedName name="_xlnm.Print_Titles" localSheetId="3">'Summary - Water Fund (020)'!$4:$5</definedName>
    <definedName name="_xlnm.Print_Titles" localSheetId="10">'Worksheet - Cap Improv (030)'!#REF!</definedName>
    <definedName name="_xlnm.Print_Titles" localSheetId="8">'Worksheet - Garbage Fund (022)'!$1:$5</definedName>
    <definedName name="_xlnm.Print_Titles" localSheetId="1">'Worksheet - General Fund (010)'!$1:$5</definedName>
    <definedName name="_xlnm.Print_Titles" localSheetId="6">'Worksheet - Sewer Fund (021)'!$1:$5</definedName>
    <definedName name="_xlnm.Print_Titles" localSheetId="4">'Worksheet - Water Fund (020)'!$1:$5</definedName>
  </definedNames>
  <calcPr calcId="191029"/>
</workbook>
</file>

<file path=xl/calcChain.xml><?xml version="1.0" encoding="utf-8"?>
<calcChain xmlns="http://schemas.openxmlformats.org/spreadsheetml/2006/main">
  <c r="H79" i="23" l="1"/>
  <c r="F113" i="13" l="1"/>
  <c r="G113" i="13"/>
  <c r="I113" i="13"/>
  <c r="E113" i="13"/>
  <c r="F836" i="8" l="1"/>
  <c r="G836" i="8"/>
  <c r="E836" i="8"/>
  <c r="F670" i="8"/>
  <c r="G670" i="8"/>
  <c r="E670" i="8"/>
  <c r="F623" i="8"/>
  <c r="G623" i="8"/>
  <c r="E623" i="8"/>
  <c r="G558" i="8"/>
  <c r="E558" i="8"/>
  <c r="F497" i="8"/>
  <c r="G497" i="8"/>
  <c r="E497" i="8"/>
  <c r="F441" i="8"/>
  <c r="G441" i="8"/>
  <c r="E441" i="8"/>
  <c r="F378" i="8"/>
  <c r="G378" i="8"/>
  <c r="E378" i="8"/>
  <c r="E311" i="8"/>
  <c r="F311" i="8"/>
  <c r="G311" i="8"/>
  <c r="H587" i="8" l="1"/>
  <c r="F807" i="8"/>
  <c r="E807" i="8"/>
  <c r="F770" i="8"/>
  <c r="E770" i="8"/>
  <c r="F680" i="8"/>
  <c r="G680" i="8"/>
  <c r="I680" i="8"/>
  <c r="E680" i="8"/>
  <c r="F632" i="8"/>
  <c r="G632" i="8"/>
  <c r="I632" i="8"/>
  <c r="E632" i="8"/>
  <c r="F513" i="8"/>
  <c r="G513" i="8"/>
  <c r="I513" i="8"/>
  <c r="E513" i="8"/>
  <c r="F458" i="8"/>
  <c r="G458" i="8"/>
  <c r="I458" i="8"/>
  <c r="E458" i="8"/>
  <c r="F797" i="8" l="1"/>
  <c r="G797" i="8"/>
  <c r="E797" i="8"/>
  <c r="F728" i="8"/>
  <c r="G728" i="8"/>
  <c r="H728" i="8"/>
  <c r="E728" i="8"/>
  <c r="F285" i="8"/>
  <c r="G285" i="8"/>
  <c r="I51" i="21" l="1"/>
  <c r="F595" i="8"/>
  <c r="G595" i="8"/>
  <c r="I595" i="8"/>
  <c r="E595" i="8"/>
  <c r="F61" i="21"/>
  <c r="G61" i="21"/>
  <c r="E18" i="20" s="1"/>
  <c r="I61" i="21"/>
  <c r="E61" i="21"/>
  <c r="H59" i="21"/>
  <c r="F68" i="23"/>
  <c r="G68" i="23"/>
  <c r="I68" i="23"/>
  <c r="E68" i="23"/>
  <c r="F98" i="13"/>
  <c r="G98" i="13"/>
  <c r="E20" i="14" s="1"/>
  <c r="I98" i="13"/>
  <c r="G20" i="14" s="1"/>
  <c r="E98" i="13"/>
  <c r="I862" i="8"/>
  <c r="G272" i="2" s="1"/>
  <c r="G862" i="8"/>
  <c r="E272" i="2" s="1"/>
  <c r="F862" i="8"/>
  <c r="D272" i="2" s="1"/>
  <c r="E862" i="8"/>
  <c r="C272" i="2" s="1"/>
  <c r="H861" i="8"/>
  <c r="H862" i="8" s="1"/>
  <c r="F272" i="2" s="1"/>
  <c r="I815" i="8"/>
  <c r="G263" i="2" s="1"/>
  <c r="G815" i="8"/>
  <c r="E263" i="2" s="1"/>
  <c r="F815" i="8"/>
  <c r="D263" i="2" s="1"/>
  <c r="E815" i="8"/>
  <c r="C263" i="2" s="1"/>
  <c r="H814" i="8"/>
  <c r="H815" i="8" s="1"/>
  <c r="F263" i="2" s="1"/>
  <c r="F694" i="8"/>
  <c r="G694" i="8"/>
  <c r="I694" i="8"/>
  <c r="E694" i="8"/>
  <c r="H690" i="8"/>
  <c r="F642" i="8"/>
  <c r="G642" i="8"/>
  <c r="I642" i="8"/>
  <c r="E642" i="8"/>
  <c r="F410" i="8"/>
  <c r="G410" i="8"/>
  <c r="I410" i="8"/>
  <c r="E410" i="8"/>
  <c r="I466" i="8"/>
  <c r="G194" i="2" s="1"/>
  <c r="G466" i="8"/>
  <c r="E194" i="2" s="1"/>
  <c r="F466" i="8"/>
  <c r="D194" i="2" s="1"/>
  <c r="E466" i="8"/>
  <c r="C194" i="2" s="1"/>
  <c r="H465" i="8"/>
  <c r="H466" i="8" s="1"/>
  <c r="F194" i="2" s="1"/>
  <c r="F344" i="8"/>
  <c r="G344" i="8"/>
  <c r="I344" i="8"/>
  <c r="E344" i="8"/>
  <c r="F260" i="8"/>
  <c r="G260" i="8"/>
  <c r="I260" i="8"/>
  <c r="E260" i="8"/>
  <c r="F17" i="29"/>
  <c r="F16" i="29"/>
  <c r="F15" i="29"/>
  <c r="E15" i="29"/>
  <c r="E14" i="29"/>
  <c r="F14" i="29" s="1"/>
  <c r="F9" i="29"/>
  <c r="F8" i="29"/>
  <c r="D18" i="20"/>
  <c r="G18" i="20"/>
  <c r="G17" i="20"/>
  <c r="C18" i="20"/>
  <c r="F68" i="21"/>
  <c r="D19" i="20" s="1"/>
  <c r="G68" i="21"/>
  <c r="E19" i="20" s="1"/>
  <c r="I68" i="21"/>
  <c r="G19" i="20" s="1"/>
  <c r="E68" i="21"/>
  <c r="C19" i="20" s="1"/>
  <c r="F56" i="21"/>
  <c r="D17" i="20" s="1"/>
  <c r="G56" i="21"/>
  <c r="E17" i="20" s="1"/>
  <c r="I56" i="21"/>
  <c r="E56" i="21"/>
  <c r="C17" i="20" s="1"/>
  <c r="F51" i="21"/>
  <c r="D16" i="20" s="1"/>
  <c r="G51" i="21"/>
  <c r="E16" i="20" s="1"/>
  <c r="E51" i="21"/>
  <c r="C16" i="20" s="1"/>
  <c r="H42" i="21"/>
  <c r="H43" i="21"/>
  <c r="H44" i="21"/>
  <c r="H45" i="21"/>
  <c r="H46" i="21"/>
  <c r="H47" i="21"/>
  <c r="H48" i="21"/>
  <c r="H49" i="21"/>
  <c r="H50" i="21"/>
  <c r="H31" i="21"/>
  <c r="F32" i="11"/>
  <c r="G32" i="11"/>
  <c r="E15" i="12" s="1"/>
  <c r="H32" i="11"/>
  <c r="I32" i="11"/>
  <c r="G15" i="12" s="1"/>
  <c r="E32" i="11"/>
  <c r="C15" i="12" s="1"/>
  <c r="D15" i="12"/>
  <c r="F36" i="11"/>
  <c r="D16" i="12" s="1"/>
  <c r="G36" i="11"/>
  <c r="E16" i="12" s="1"/>
  <c r="H36" i="11"/>
  <c r="F16" i="12" s="1"/>
  <c r="I36" i="11"/>
  <c r="G16" i="12" s="1"/>
  <c r="E36" i="11"/>
  <c r="C16" i="12" s="1"/>
  <c r="F24" i="11"/>
  <c r="D14" i="12" s="1"/>
  <c r="G24" i="11"/>
  <c r="E14" i="12" s="1"/>
  <c r="H24" i="11"/>
  <c r="F14" i="12" s="1"/>
  <c r="I24" i="11"/>
  <c r="G14" i="12" s="1"/>
  <c r="E24" i="11"/>
  <c r="C14" i="12" s="1"/>
  <c r="H13" i="11"/>
  <c r="H9" i="11"/>
  <c r="H9" i="9"/>
  <c r="I54" i="23"/>
  <c r="E18" i="22"/>
  <c r="H71" i="23"/>
  <c r="F72" i="23"/>
  <c r="D18" i="22" s="1"/>
  <c r="G72" i="23"/>
  <c r="I72" i="23"/>
  <c r="G18" i="22" s="1"/>
  <c r="E72" i="23"/>
  <c r="C18" i="22" s="1"/>
  <c r="F61" i="23"/>
  <c r="G61" i="23"/>
  <c r="I61" i="23"/>
  <c r="E61" i="23"/>
  <c r="H67" i="23"/>
  <c r="H65" i="23"/>
  <c r="H68" i="23" s="1"/>
  <c r="H58" i="23"/>
  <c r="H60" i="23"/>
  <c r="H47" i="23"/>
  <c r="H48" i="23"/>
  <c r="H49" i="23"/>
  <c r="H50" i="23"/>
  <c r="H51" i="23"/>
  <c r="H52" i="23"/>
  <c r="H53" i="23"/>
  <c r="H46" i="23"/>
  <c r="E54" i="23"/>
  <c r="F54" i="23"/>
  <c r="G54" i="23"/>
  <c r="H41" i="23"/>
  <c r="H36" i="23"/>
  <c r="H34" i="23"/>
  <c r="H32" i="23"/>
  <c r="H28" i="23"/>
  <c r="H29" i="23"/>
  <c r="H27" i="23"/>
  <c r="H15" i="23"/>
  <c r="H16" i="23"/>
  <c r="H17" i="23"/>
  <c r="H14" i="23"/>
  <c r="H10" i="23"/>
  <c r="H9" i="23"/>
  <c r="E84" i="18"/>
  <c r="H82" i="18"/>
  <c r="F79" i="18"/>
  <c r="D19" i="19" s="1"/>
  <c r="G79" i="18"/>
  <c r="E19" i="19" s="1"/>
  <c r="I79" i="18"/>
  <c r="G19" i="19" s="1"/>
  <c r="E79" i="18"/>
  <c r="C19" i="19" s="1"/>
  <c r="H78" i="18"/>
  <c r="H77" i="18"/>
  <c r="H79" i="18" s="1"/>
  <c r="F19" i="19" s="1"/>
  <c r="F74" i="18"/>
  <c r="G74" i="18"/>
  <c r="I74" i="18"/>
  <c r="E74" i="18"/>
  <c r="H71" i="18"/>
  <c r="H72" i="18"/>
  <c r="H73" i="18"/>
  <c r="H70" i="18"/>
  <c r="H60" i="18"/>
  <c r="H61" i="18"/>
  <c r="H62" i="18"/>
  <c r="H63" i="18"/>
  <c r="H64" i="18"/>
  <c r="H65" i="18"/>
  <c r="H59" i="18"/>
  <c r="H47" i="18"/>
  <c r="H48" i="18"/>
  <c r="H49" i="18"/>
  <c r="H50" i="18"/>
  <c r="H51" i="18"/>
  <c r="I51" i="18" s="1"/>
  <c r="H52" i="18"/>
  <c r="H53" i="18"/>
  <c r="H54" i="18"/>
  <c r="H55" i="18"/>
  <c r="H46" i="18"/>
  <c r="F56" i="18"/>
  <c r="G56" i="18"/>
  <c r="E56" i="18"/>
  <c r="H42" i="18"/>
  <c r="H37" i="18"/>
  <c r="H35" i="18"/>
  <c r="H33" i="18"/>
  <c r="H29" i="18"/>
  <c r="H30" i="18"/>
  <c r="H28" i="18"/>
  <c r="H10" i="18"/>
  <c r="H9" i="18"/>
  <c r="H103" i="13"/>
  <c r="H104" i="13"/>
  <c r="H105" i="13"/>
  <c r="H106" i="13"/>
  <c r="H102" i="13"/>
  <c r="F107" i="13"/>
  <c r="G107" i="13"/>
  <c r="E21" i="14" s="1"/>
  <c r="I107" i="13"/>
  <c r="G21" i="14" s="1"/>
  <c r="E107" i="13"/>
  <c r="H111" i="13"/>
  <c r="H112" i="13"/>
  <c r="H110" i="13"/>
  <c r="H93" i="13"/>
  <c r="H94" i="13"/>
  <c r="H95" i="13"/>
  <c r="H96" i="13"/>
  <c r="H97" i="13"/>
  <c r="H91" i="13"/>
  <c r="H92" i="13"/>
  <c r="H87" i="13"/>
  <c r="H86" i="13"/>
  <c r="F88" i="13"/>
  <c r="G88" i="13"/>
  <c r="E19" i="14" s="1"/>
  <c r="I88" i="13"/>
  <c r="G19" i="14" s="1"/>
  <c r="E88" i="13"/>
  <c r="H77" i="13"/>
  <c r="H78" i="13"/>
  <c r="H79" i="13"/>
  <c r="H80" i="13"/>
  <c r="H81" i="13"/>
  <c r="H82" i="13"/>
  <c r="H76" i="13"/>
  <c r="F83" i="13"/>
  <c r="G83" i="13"/>
  <c r="E18" i="14" s="1"/>
  <c r="I83" i="13"/>
  <c r="G18" i="14" s="1"/>
  <c r="E83" i="13"/>
  <c r="H68" i="13"/>
  <c r="H69" i="13"/>
  <c r="H70" i="13"/>
  <c r="H71" i="13"/>
  <c r="H72" i="13"/>
  <c r="H67" i="13"/>
  <c r="H60" i="13"/>
  <c r="H61" i="13"/>
  <c r="H62" i="13"/>
  <c r="H63" i="13"/>
  <c r="H64" i="13"/>
  <c r="H65" i="13"/>
  <c r="H59" i="13"/>
  <c r="H57" i="13"/>
  <c r="F73" i="13"/>
  <c r="G73" i="13"/>
  <c r="E17" i="14" s="1"/>
  <c r="E73" i="13"/>
  <c r="H113" i="13" l="1"/>
  <c r="H74" i="18"/>
  <c r="H98" i="13"/>
  <c r="G16" i="20"/>
  <c r="I56" i="18"/>
  <c r="F15" i="12"/>
  <c r="H88" i="13"/>
  <c r="F19" i="14" s="1"/>
  <c r="H73" i="13"/>
  <c r="F17" i="14" s="1"/>
  <c r="G15" i="29"/>
  <c r="H53" i="13" l="1"/>
  <c r="H54" i="13" s="1"/>
  <c r="F16" i="14" s="1"/>
  <c r="F54" i="13"/>
  <c r="G54" i="13"/>
  <c r="I54" i="13"/>
  <c r="G16" i="14" s="1"/>
  <c r="E54" i="13"/>
  <c r="H48" i="13"/>
  <c r="H46" i="13"/>
  <c r="H44" i="13"/>
  <c r="H40" i="13"/>
  <c r="H41" i="13"/>
  <c r="H39" i="13"/>
  <c r="H28" i="13"/>
  <c r="H21" i="13"/>
  <c r="H22" i="13"/>
  <c r="H23" i="13"/>
  <c r="H24" i="13"/>
  <c r="H20" i="13"/>
  <c r="H10" i="13"/>
  <c r="H11" i="13"/>
  <c r="H9" i="13"/>
  <c r="F710" i="8"/>
  <c r="G710" i="8"/>
  <c r="H710" i="8"/>
  <c r="I710" i="8"/>
  <c r="E710" i="8"/>
  <c r="F737" i="8" l="1"/>
  <c r="G737" i="8"/>
  <c r="I737" i="8"/>
  <c r="E737" i="8"/>
  <c r="G28" i="24"/>
  <c r="F28" i="24"/>
  <c r="E28" i="24"/>
  <c r="D28" i="24"/>
  <c r="B28" i="24"/>
  <c r="C28" i="24"/>
  <c r="F13" i="2"/>
  <c r="E9" i="2"/>
  <c r="B235" i="2" l="1"/>
  <c r="B204" i="2" l="1"/>
  <c r="B237" i="2" l="1"/>
  <c r="F881" i="8"/>
  <c r="D278" i="2" s="1"/>
  <c r="G881" i="8"/>
  <c r="E278" i="2" s="1"/>
  <c r="H881" i="8"/>
  <c r="F278" i="2" s="1"/>
  <c r="I881" i="8"/>
  <c r="G278" i="2" s="1"/>
  <c r="E881" i="8"/>
  <c r="F868" i="8"/>
  <c r="D273" i="2" s="1"/>
  <c r="G868" i="8"/>
  <c r="E273" i="2" s="1"/>
  <c r="I868" i="8"/>
  <c r="G273" i="2" s="1"/>
  <c r="E868" i="8"/>
  <c r="C273" i="2" s="1"/>
  <c r="H866" i="8"/>
  <c r="H850" i="8"/>
  <c r="H852" i="8"/>
  <c r="H849" i="8"/>
  <c r="H847" i="8"/>
  <c r="H846" i="8"/>
  <c r="H826" i="8"/>
  <c r="F858" i="8"/>
  <c r="G858" i="8"/>
  <c r="I858" i="8"/>
  <c r="E858" i="8"/>
  <c r="F854" i="8"/>
  <c r="G854" i="8"/>
  <c r="I854" i="8"/>
  <c r="E854" i="8"/>
  <c r="G807" i="8"/>
  <c r="I807" i="8"/>
  <c r="H790" i="8"/>
  <c r="H767" i="8"/>
  <c r="H768" i="8"/>
  <c r="H766" i="8"/>
  <c r="E774" i="8"/>
  <c r="G770" i="8"/>
  <c r="I770" i="8"/>
  <c r="F750" i="8"/>
  <c r="D247" i="2" s="1"/>
  <c r="G750" i="8"/>
  <c r="E247" i="2" s="1"/>
  <c r="H750" i="8"/>
  <c r="F247" i="2" s="1"/>
  <c r="I750" i="8"/>
  <c r="G247" i="2" s="1"/>
  <c r="E750" i="8"/>
  <c r="C247" i="2" s="1"/>
  <c r="H736" i="8"/>
  <c r="H734" i="8"/>
  <c r="H735" i="8"/>
  <c r="H733" i="8"/>
  <c r="H701" i="8"/>
  <c r="H698" i="8"/>
  <c r="H699" i="8"/>
  <c r="H697" i="8"/>
  <c r="H692" i="8"/>
  <c r="H693" i="8"/>
  <c r="H684" i="8"/>
  <c r="H685" i="8"/>
  <c r="H686" i="8"/>
  <c r="H683" i="8"/>
  <c r="H678" i="8"/>
  <c r="H676" i="8"/>
  <c r="F706" i="8"/>
  <c r="D237" i="2" s="1"/>
  <c r="G706" i="8"/>
  <c r="E237" i="2" s="1"/>
  <c r="I706" i="8"/>
  <c r="G237" i="2" s="1"/>
  <c r="E706" i="8"/>
  <c r="C237" i="2" s="1"/>
  <c r="F687" i="8"/>
  <c r="G687" i="8"/>
  <c r="I687" i="8"/>
  <c r="E687" i="8"/>
  <c r="F646" i="8"/>
  <c r="D227" i="2" s="1"/>
  <c r="G646" i="8"/>
  <c r="E227" i="2" s="1"/>
  <c r="H646" i="8"/>
  <c r="F227" i="2" s="1"/>
  <c r="I646" i="8"/>
  <c r="G227" i="2" s="1"/>
  <c r="E646" i="8"/>
  <c r="C227" i="2" s="1"/>
  <c r="H661" i="8"/>
  <c r="H641" i="8"/>
  <c r="H642" i="8" s="1"/>
  <c r="H636" i="8"/>
  <c r="H635" i="8"/>
  <c r="H630" i="8"/>
  <c r="H629" i="8"/>
  <c r="H614" i="8"/>
  <c r="F599" i="8"/>
  <c r="D217" i="2" s="1"/>
  <c r="G599" i="8"/>
  <c r="E217" i="2" s="1"/>
  <c r="I599" i="8"/>
  <c r="G217" i="2" s="1"/>
  <c r="E599" i="8"/>
  <c r="C217" i="2" s="1"/>
  <c r="H598" i="8"/>
  <c r="H599" i="8" s="1"/>
  <c r="F217" i="2" s="1"/>
  <c r="H589" i="8"/>
  <c r="H590" i="8"/>
  <c r="H591" i="8"/>
  <c r="H592" i="8"/>
  <c r="H593" i="8"/>
  <c r="H588" i="8"/>
  <c r="H579" i="8"/>
  <c r="H580" i="8"/>
  <c r="H581" i="8"/>
  <c r="H582" i="8"/>
  <c r="H583" i="8"/>
  <c r="F584" i="8"/>
  <c r="G584" i="8"/>
  <c r="I584" i="8"/>
  <c r="E584" i="8"/>
  <c r="H570" i="8"/>
  <c r="H572" i="8"/>
  <c r="H574" i="8"/>
  <c r="H575" i="8"/>
  <c r="H567" i="8"/>
  <c r="F576" i="8"/>
  <c r="G576" i="8"/>
  <c r="E576" i="8"/>
  <c r="H549" i="8"/>
  <c r="H548" i="8"/>
  <c r="H529" i="8"/>
  <c r="H530" i="8"/>
  <c r="H528" i="8"/>
  <c r="H524" i="8"/>
  <c r="H520" i="8"/>
  <c r="H518" i="8"/>
  <c r="H517" i="8"/>
  <c r="H516" i="8"/>
  <c r="H512" i="8"/>
  <c r="H510" i="8"/>
  <c r="H502" i="8"/>
  <c r="H503" i="8"/>
  <c r="H487" i="8"/>
  <c r="H486" i="8"/>
  <c r="H493" i="8"/>
  <c r="F537" i="8"/>
  <c r="G537" i="8"/>
  <c r="H537" i="8"/>
  <c r="I537" i="8"/>
  <c r="E537" i="8"/>
  <c r="F531" i="8"/>
  <c r="D206" i="2" s="1"/>
  <c r="G531" i="8"/>
  <c r="E206" i="2" s="1"/>
  <c r="I531" i="8"/>
  <c r="G206" i="2" s="1"/>
  <c r="E531" i="8"/>
  <c r="C206" i="2" s="1"/>
  <c r="F525" i="8"/>
  <c r="G525" i="8"/>
  <c r="I525" i="8"/>
  <c r="E525" i="8"/>
  <c r="F521" i="8"/>
  <c r="G521" i="8"/>
  <c r="I521" i="8"/>
  <c r="E521" i="8"/>
  <c r="F504" i="8"/>
  <c r="G504" i="8"/>
  <c r="I504" i="8"/>
  <c r="E504" i="8"/>
  <c r="F488" i="8"/>
  <c r="G488" i="8"/>
  <c r="I488" i="8"/>
  <c r="E488" i="8"/>
  <c r="H470" i="8"/>
  <c r="H469" i="8"/>
  <c r="H461" i="8"/>
  <c r="H432" i="8"/>
  <c r="H431" i="8"/>
  <c r="F471" i="8"/>
  <c r="D195" i="2" s="1"/>
  <c r="G471" i="8"/>
  <c r="E195" i="2" s="1"/>
  <c r="I471" i="8"/>
  <c r="G195" i="2" s="1"/>
  <c r="E471" i="8"/>
  <c r="C195" i="2" s="1"/>
  <c r="F462" i="8"/>
  <c r="G462" i="8"/>
  <c r="I462" i="8"/>
  <c r="E462" i="8"/>
  <c r="F447" i="8"/>
  <c r="G447" i="8"/>
  <c r="H447" i="8"/>
  <c r="I447" i="8"/>
  <c r="E447" i="8"/>
  <c r="H414" i="8"/>
  <c r="H413" i="8"/>
  <c r="H409" i="8"/>
  <c r="H408" i="8"/>
  <c r="H410" i="8" s="1"/>
  <c r="H402" i="8"/>
  <c r="H403" i="8"/>
  <c r="H401" i="8"/>
  <c r="H396" i="8"/>
  <c r="H395" i="8"/>
  <c r="H394" i="8"/>
  <c r="H387" i="8"/>
  <c r="H383" i="8"/>
  <c r="H374" i="8"/>
  <c r="H368" i="8"/>
  <c r="H367" i="8"/>
  <c r="F415" i="8"/>
  <c r="D184" i="2" s="1"/>
  <c r="G415" i="8"/>
  <c r="E184" i="2" s="1"/>
  <c r="I415" i="8"/>
  <c r="G184" i="2" s="1"/>
  <c r="E415" i="8"/>
  <c r="C184" i="2" s="1"/>
  <c r="F420" i="8"/>
  <c r="G420" i="8"/>
  <c r="H420" i="8"/>
  <c r="I420" i="8"/>
  <c r="E420" i="8"/>
  <c r="F424" i="8"/>
  <c r="G424" i="8"/>
  <c r="H424" i="8"/>
  <c r="I424" i="8"/>
  <c r="E424" i="8"/>
  <c r="F404" i="8"/>
  <c r="G404" i="8"/>
  <c r="I404" i="8"/>
  <c r="E404" i="8"/>
  <c r="F398" i="8"/>
  <c r="G398" i="8"/>
  <c r="I398" i="8"/>
  <c r="E398" i="8"/>
  <c r="F369" i="8"/>
  <c r="G369" i="8"/>
  <c r="I369" i="8"/>
  <c r="E369" i="8"/>
  <c r="F384" i="8"/>
  <c r="G384" i="8"/>
  <c r="I384" i="8"/>
  <c r="E384" i="8"/>
  <c r="F360" i="8"/>
  <c r="G360" i="8"/>
  <c r="H360" i="8"/>
  <c r="I360" i="8"/>
  <c r="E360" i="8"/>
  <c r="F356" i="8"/>
  <c r="G356" i="8"/>
  <c r="H356" i="8"/>
  <c r="I356" i="8"/>
  <c r="E356" i="8"/>
  <c r="H348" i="8"/>
  <c r="H349" i="8"/>
  <c r="H350" i="8"/>
  <c r="H351" i="8"/>
  <c r="H347" i="8"/>
  <c r="F352" i="8"/>
  <c r="D173" i="2" s="1"/>
  <c r="G352" i="8"/>
  <c r="E173" i="2" s="1"/>
  <c r="I352" i="8"/>
  <c r="G173" i="2" s="1"/>
  <c r="E352" i="8"/>
  <c r="C173" i="2" s="1"/>
  <c r="H343" i="8"/>
  <c r="H342" i="8"/>
  <c r="H337" i="8"/>
  <c r="H336" i="8"/>
  <c r="F338" i="8"/>
  <c r="G338" i="8"/>
  <c r="I338" i="8"/>
  <c r="E338" i="8"/>
  <c r="H329" i="8"/>
  <c r="H328" i="8"/>
  <c r="H320" i="8"/>
  <c r="H316" i="8"/>
  <c r="H299" i="8"/>
  <c r="G333" i="8"/>
  <c r="F333" i="8"/>
  <c r="E333" i="8"/>
  <c r="H172" i="8"/>
  <c r="F317" i="8"/>
  <c r="G317" i="8"/>
  <c r="I317" i="8"/>
  <c r="E317" i="8"/>
  <c r="F301" i="8"/>
  <c r="G301" i="8"/>
  <c r="I301" i="8"/>
  <c r="E301" i="8"/>
  <c r="G264" i="8"/>
  <c r="E157" i="2" s="1"/>
  <c r="G255" i="8"/>
  <c r="G249" i="8"/>
  <c r="G221" i="8"/>
  <c r="E264" i="8"/>
  <c r="C157" i="2" s="1"/>
  <c r="E255" i="8"/>
  <c r="E249" i="8"/>
  <c r="F221" i="8"/>
  <c r="I221" i="8"/>
  <c r="E221" i="8"/>
  <c r="H290" i="8"/>
  <c r="H279" i="8"/>
  <c r="H680" i="8" l="1"/>
  <c r="H344" i="8"/>
  <c r="H632" i="8"/>
  <c r="H595" i="8"/>
  <c r="H737" i="8"/>
  <c r="H883" i="8"/>
  <c r="I883" i="8"/>
  <c r="G883" i="8"/>
  <c r="F883" i="8"/>
  <c r="E883" i="8"/>
  <c r="C278" i="2"/>
  <c r="E499" i="8"/>
  <c r="F499" i="8"/>
  <c r="G499" i="8"/>
  <c r="G380" i="8"/>
  <c r="G426" i="8" s="1"/>
  <c r="E380" i="8"/>
  <c r="F380" i="8"/>
  <c r="F426" i="8" s="1"/>
  <c r="F313" i="8"/>
  <c r="F362" i="8" s="1"/>
  <c r="G313" i="8"/>
  <c r="G362" i="8" s="1"/>
  <c r="E313" i="8"/>
  <c r="E362" i="8" s="1"/>
  <c r="F264" i="8"/>
  <c r="D157" i="2" s="1"/>
  <c r="H264" i="8"/>
  <c r="F157" i="2" s="1"/>
  <c r="I264" i="8"/>
  <c r="G157" i="2" s="1"/>
  <c r="H253" i="8"/>
  <c r="H254" i="8"/>
  <c r="H252" i="8"/>
  <c r="H232" i="8"/>
  <c r="H233" i="8"/>
  <c r="H234" i="8"/>
  <c r="H237" i="8"/>
  <c r="H235" i="8"/>
  <c r="H236" i="8"/>
  <c r="H238" i="8"/>
  <c r="H239" i="8"/>
  <c r="H240" i="8"/>
  <c r="H241" i="8"/>
  <c r="H242" i="8"/>
  <c r="H244" i="8"/>
  <c r="H245" i="8"/>
  <c r="H246" i="8"/>
  <c r="H247" i="8"/>
  <c r="H248" i="8"/>
  <c r="H231" i="8"/>
  <c r="H243" i="8"/>
  <c r="H229" i="8"/>
  <c r="H225" i="8"/>
  <c r="H226" i="8"/>
  <c r="H227" i="8"/>
  <c r="H228" i="8"/>
  <c r="H224" i="8"/>
  <c r="H220" i="8"/>
  <c r="H221" i="8" s="1"/>
  <c r="H212" i="8"/>
  <c r="H213" i="8"/>
  <c r="H214" i="8"/>
  <c r="H210" i="8"/>
  <c r="H206" i="8"/>
  <c r="I187" i="8"/>
  <c r="G144" i="2" s="1"/>
  <c r="H187" i="8"/>
  <c r="F144" i="2" s="1"/>
  <c r="G187" i="8"/>
  <c r="E144" i="2" s="1"/>
  <c r="F187" i="8"/>
  <c r="D144" i="2" s="1"/>
  <c r="E187" i="8"/>
  <c r="C144" i="2" s="1"/>
  <c r="H105" i="8"/>
  <c r="H104" i="8"/>
  <c r="H95" i="8"/>
  <c r="H96" i="8"/>
  <c r="H97" i="8"/>
  <c r="H98" i="8"/>
  <c r="H94" i="8"/>
  <c r="H92" i="8"/>
  <c r="H84" i="8"/>
  <c r="H85" i="8"/>
  <c r="H86" i="8"/>
  <c r="H83" i="8"/>
  <c r="H72" i="8"/>
  <c r="H71" i="8"/>
  <c r="H55" i="8"/>
  <c r="H56" i="8"/>
  <c r="H57" i="8"/>
  <c r="H54" i="8"/>
  <c r="H52" i="8"/>
  <c r="H51" i="8"/>
  <c r="H40" i="8"/>
  <c r="H39" i="8"/>
  <c r="H37" i="8"/>
  <c r="H31" i="8"/>
  <c r="H32" i="8"/>
  <c r="H15" i="8"/>
  <c r="F15" i="2" s="1"/>
  <c r="H16" i="8"/>
  <c r="F16" i="2" s="1"/>
  <c r="H17" i="8"/>
  <c r="F17" i="2" s="1"/>
  <c r="H18" i="8"/>
  <c r="F18" i="2" s="1"/>
  <c r="H19" i="8"/>
  <c r="F19" i="2" s="1"/>
  <c r="H20" i="8"/>
  <c r="F20" i="2" s="1"/>
  <c r="H21" i="8"/>
  <c r="F21" i="2" s="1"/>
  <c r="H14" i="8"/>
  <c r="F14" i="2" s="1"/>
  <c r="H10" i="8"/>
  <c r="F10" i="2" s="1"/>
  <c r="H11" i="8"/>
  <c r="F11" i="2" s="1"/>
  <c r="H12" i="8"/>
  <c r="F12" i="2" s="1"/>
  <c r="H9" i="8"/>
  <c r="F9" i="2" l="1"/>
  <c r="H22" i="8"/>
  <c r="H127" i="8"/>
  <c r="H331" i="8" l="1"/>
  <c r="B22" i="19" l="1"/>
  <c r="H60" i="21" l="1"/>
  <c r="H61" i="21" s="1"/>
  <c r="H65" i="21"/>
  <c r="H54" i="21"/>
  <c r="H55" i="21"/>
  <c r="H67" i="21"/>
  <c r="H64" i="21"/>
  <c r="H68" i="21" s="1"/>
  <c r="F19" i="20" s="1"/>
  <c r="H66" i="21"/>
  <c r="H41" i="21"/>
  <c r="H51" i="21" s="1"/>
  <c r="F16" i="20" s="1"/>
  <c r="H16" i="21"/>
  <c r="H10" i="21"/>
  <c r="H11" i="21"/>
  <c r="H12" i="21"/>
  <c r="H9" i="21"/>
  <c r="H571" i="8"/>
  <c r="H324" i="8"/>
  <c r="H323" i="8"/>
  <c r="F18" i="20" l="1"/>
  <c r="H56" i="21"/>
  <c r="F17" i="20" s="1"/>
  <c r="H333" i="8"/>
  <c r="H509" i="8" l="1"/>
  <c r="H508" i="8"/>
  <c r="H513" i="8" s="1"/>
  <c r="H453" i="8"/>
  <c r="H452" i="8"/>
  <c r="H391" i="8"/>
  <c r="H390" i="8"/>
  <c r="B21" i="22" l="1"/>
  <c r="B33" i="22" s="1"/>
  <c r="B17" i="22"/>
  <c r="B36" i="19"/>
  <c r="B24" i="14"/>
  <c r="B38" i="14" s="1"/>
  <c r="B21" i="14"/>
  <c r="I567" i="8" l="1"/>
  <c r="I576" i="8" s="1"/>
  <c r="I226" i="8"/>
  <c r="I57" i="13"/>
  <c r="I73" i="13" s="1"/>
  <c r="G17" i="14" s="1"/>
  <c r="I320" i="8"/>
  <c r="I333" i="8" s="1"/>
  <c r="B9" i="10" l="1"/>
  <c r="G125" i="13" l="1"/>
  <c r="E24" i="14" s="1"/>
  <c r="D14" i="29" l="1"/>
  <c r="B14" i="29"/>
  <c r="B17" i="20"/>
  <c r="B16" i="20"/>
  <c r="B15" i="20"/>
  <c r="B21" i="20" l="1"/>
  <c r="E38" i="14"/>
  <c r="H72" i="23" l="1"/>
  <c r="F18" i="22" s="1"/>
  <c r="H59" i="23"/>
  <c r="H61" i="23" s="1"/>
  <c r="B16" i="22"/>
  <c r="B15" i="22"/>
  <c r="B13" i="22"/>
  <c r="H83" i="18"/>
  <c r="B21" i="19"/>
  <c r="B18" i="19"/>
  <c r="B17" i="19"/>
  <c r="B16" i="19"/>
  <c r="B15" i="19"/>
  <c r="B14" i="19"/>
  <c r="C297" i="2"/>
  <c r="H56" i="18" l="1"/>
  <c r="H107" i="13"/>
  <c r="F21" i="14" s="1"/>
  <c r="F20" i="14"/>
  <c r="H83" i="13"/>
  <c r="F18" i="14" s="1"/>
  <c r="E12" i="13"/>
  <c r="B23" i="14"/>
  <c r="B20" i="14"/>
  <c r="B18" i="14"/>
  <c r="B17" i="14"/>
  <c r="B16" i="14"/>
  <c r="B15" i="14"/>
  <c r="G323" i="2" l="1"/>
  <c r="C323" i="2"/>
  <c r="B133" i="2"/>
  <c r="F141" i="8"/>
  <c r="F143" i="8" s="1"/>
  <c r="G141" i="8"/>
  <c r="G143" i="8" s="1"/>
  <c r="H141" i="8"/>
  <c r="H143" i="8" s="1"/>
  <c r="I141" i="8"/>
  <c r="I143" i="8" s="1"/>
  <c r="E141" i="8"/>
  <c r="E143" i="8" s="1"/>
  <c r="I147" i="8"/>
  <c r="G132" i="2" s="1"/>
  <c r="H147" i="8"/>
  <c r="G147" i="8"/>
  <c r="E132" i="2" s="1"/>
  <c r="F147" i="8"/>
  <c r="D132" i="2" s="1"/>
  <c r="E147" i="8"/>
  <c r="C132" i="2" s="1"/>
  <c r="B271" i="2"/>
  <c r="B270" i="2"/>
  <c r="B268" i="2"/>
  <c r="B261" i="2"/>
  <c r="B260" i="2"/>
  <c r="B253" i="2"/>
  <c r="B245" i="2"/>
  <c r="B244" i="2"/>
  <c r="B243" i="2"/>
  <c r="B250" i="2" s="1"/>
  <c r="B233" i="2"/>
  <c r="B226" i="2"/>
  <c r="B225" i="2"/>
  <c r="B224" i="2"/>
  <c r="B223" i="2"/>
  <c r="B215" i="2"/>
  <c r="B216" i="2"/>
  <c r="B214" i="2"/>
  <c r="B212" i="2"/>
  <c r="B203" i="2"/>
  <c r="B202" i="2"/>
  <c r="B201" i="2"/>
  <c r="B193" i="2"/>
  <c r="B192" i="2"/>
  <c r="B191" i="2"/>
  <c r="B190" i="2"/>
  <c r="B185" i="2"/>
  <c r="B183" i="2"/>
  <c r="B182" i="2"/>
  <c r="B181" i="2"/>
  <c r="B180" i="2"/>
  <c r="B179" i="2"/>
  <c r="B172" i="2"/>
  <c r="B171" i="2"/>
  <c r="B170" i="2"/>
  <c r="B169" i="2"/>
  <c r="B168" i="2"/>
  <c r="B163" i="2"/>
  <c r="B165" i="2" s="1"/>
  <c r="B154" i="2"/>
  <c r="B156" i="2"/>
  <c r="B155" i="2"/>
  <c r="B153" i="2"/>
  <c r="B152" i="2"/>
  <c r="B230" i="2" l="1"/>
  <c r="B198" i="2"/>
  <c r="B187" i="2"/>
  <c r="B176" i="2"/>
  <c r="B160" i="2"/>
  <c r="B220" i="2"/>
  <c r="B209" i="2"/>
  <c r="C131" i="2"/>
  <c r="C133" i="2" s="1"/>
  <c r="F149" i="8"/>
  <c r="E131" i="2"/>
  <c r="E133" i="2" s="1"/>
  <c r="F131" i="2"/>
  <c r="F132" i="2"/>
  <c r="B143" i="2"/>
  <c r="B142" i="2"/>
  <c r="B141" i="2"/>
  <c r="G117" i="2"/>
  <c r="G118" i="2"/>
  <c r="G119" i="2"/>
  <c r="G120" i="2"/>
  <c r="F117" i="2"/>
  <c r="F118" i="2"/>
  <c r="F119" i="2"/>
  <c r="F120" i="2"/>
  <c r="E117" i="2"/>
  <c r="E118" i="2"/>
  <c r="E119" i="2"/>
  <c r="E120" i="2"/>
  <c r="G86" i="2"/>
  <c r="E86" i="2"/>
  <c r="E87" i="2"/>
  <c r="G64" i="2"/>
  <c r="G65" i="2"/>
  <c r="F64" i="2"/>
  <c r="E64" i="2"/>
  <c r="H810" i="8"/>
  <c r="H804" i="8"/>
  <c r="H802" i="8"/>
  <c r="H805" i="8"/>
  <c r="H803" i="8"/>
  <c r="H722" i="8"/>
  <c r="H525" i="8"/>
  <c r="H521" i="8"/>
  <c r="H504" i="8"/>
  <c r="H488" i="8"/>
  <c r="H415" i="8"/>
  <c r="F184" i="2" s="1"/>
  <c r="H384" i="8"/>
  <c r="F86" i="2"/>
  <c r="H807" i="8" l="1"/>
  <c r="B145" i="2"/>
  <c r="H584" i="8"/>
  <c r="H576" i="8"/>
  <c r="H531" i="8"/>
  <c r="F206" i="2" s="1"/>
  <c r="H404" i="8"/>
  <c r="H398" i="8"/>
  <c r="H369" i="8"/>
  <c r="D131" i="2"/>
  <c r="D133" i="2" s="1"/>
  <c r="E149" i="8"/>
  <c r="G131" i="2"/>
  <c r="G133" i="2" s="1"/>
  <c r="I149" i="8"/>
  <c r="G149" i="8"/>
  <c r="F133" i="2"/>
  <c r="H149" i="8"/>
  <c r="G236" i="2"/>
  <c r="E236" i="2"/>
  <c r="H691" i="8"/>
  <c r="H694" i="8" s="1"/>
  <c r="H705" i="8"/>
  <c r="H706" i="8" s="1"/>
  <c r="F237" i="2" s="1"/>
  <c r="F637" i="8"/>
  <c r="G637" i="8"/>
  <c r="I637" i="8"/>
  <c r="E637" i="8"/>
  <c r="H687" i="8"/>
  <c r="H637" i="8"/>
  <c r="H854" i="8" l="1"/>
  <c r="H770" i="8"/>
  <c r="F236" i="2"/>
  <c r="H462" i="8"/>
  <c r="H471" i="8"/>
  <c r="F195" i="2" s="1"/>
  <c r="H456" i="8"/>
  <c r="H458" i="8" s="1"/>
  <c r="H338" i="8" l="1"/>
  <c r="H317" i="8"/>
  <c r="H300" i="8"/>
  <c r="H352" i="8" l="1"/>
  <c r="F173" i="2" s="1"/>
  <c r="H301" i="8"/>
  <c r="B25" i="12" l="1"/>
  <c r="B18" i="12"/>
  <c r="B10" i="12"/>
  <c r="B20" i="12" l="1"/>
  <c r="B27" i="12" s="1"/>
  <c r="B30" i="12"/>
  <c r="G37" i="10" l="1"/>
  <c r="G24" i="10"/>
  <c r="D8" i="10"/>
  <c r="D9" i="10" s="1"/>
  <c r="E8" i="10"/>
  <c r="E9" i="10" s="1"/>
  <c r="G8" i="10"/>
  <c r="G9" i="10" s="1"/>
  <c r="C8" i="10"/>
  <c r="C9" i="10" s="1"/>
  <c r="F8" i="10"/>
  <c r="F9" i="10" s="1"/>
  <c r="F12" i="24" l="1"/>
  <c r="G12" i="24"/>
  <c r="G14" i="24" s="1"/>
  <c r="E12" i="24"/>
  <c r="E14" i="24" s="1"/>
  <c r="D12" i="24"/>
  <c r="D14" i="24" s="1"/>
  <c r="C12" i="24"/>
  <c r="C14" i="24" s="1"/>
  <c r="B12" i="24"/>
  <c r="F14" i="24" l="1"/>
  <c r="D123" i="2"/>
  <c r="H857" i="8" l="1"/>
  <c r="H858" i="8" s="1"/>
  <c r="H865" i="8"/>
  <c r="H868" i="8" s="1"/>
  <c r="F273" i="2" s="1"/>
  <c r="H259" i="8"/>
  <c r="H260" i="8" s="1"/>
  <c r="H103" i="8"/>
  <c r="H48" i="8"/>
  <c r="H50" i="8"/>
  <c r="H41" i="8"/>
  <c r="F741" i="8" l="1"/>
  <c r="G741" i="8"/>
  <c r="H741" i="8"/>
  <c r="I741" i="8"/>
  <c r="E741" i="8"/>
  <c r="E550" i="8"/>
  <c r="E541" i="8"/>
  <c r="E543" i="8" s="1"/>
  <c r="H492" i="8"/>
  <c r="H497" i="8" s="1"/>
  <c r="F479" i="8"/>
  <c r="G479" i="8"/>
  <c r="H479" i="8"/>
  <c r="I479" i="8"/>
  <c r="E479" i="8"/>
  <c r="F475" i="8"/>
  <c r="G475" i="8"/>
  <c r="H475" i="8"/>
  <c r="I475" i="8"/>
  <c r="E475" i="8"/>
  <c r="F433" i="8"/>
  <c r="G433" i="8"/>
  <c r="H433" i="8"/>
  <c r="I433" i="8"/>
  <c r="I437" i="8" s="1"/>
  <c r="I441" i="8" s="1"/>
  <c r="E433" i="8"/>
  <c r="F292" i="8"/>
  <c r="G292" i="8"/>
  <c r="I292" i="8"/>
  <c r="E292" i="8"/>
  <c r="E280" i="8"/>
  <c r="F280" i="8"/>
  <c r="G280" i="8"/>
  <c r="H280" i="8"/>
  <c r="I280" i="8"/>
  <c r="F272" i="8"/>
  <c r="G272" i="8"/>
  <c r="H272" i="8"/>
  <c r="I272" i="8"/>
  <c r="E272" i="8"/>
  <c r="F268" i="8"/>
  <c r="G268" i="8"/>
  <c r="H268" i="8"/>
  <c r="I268" i="8"/>
  <c r="E268" i="8"/>
  <c r="F255" i="8"/>
  <c r="I255" i="8"/>
  <c r="F249" i="8"/>
  <c r="I249" i="8"/>
  <c r="G215" i="8"/>
  <c r="F207" i="8"/>
  <c r="G207" i="8"/>
  <c r="H207" i="8"/>
  <c r="H211" i="8" s="1"/>
  <c r="I207" i="8"/>
  <c r="E207" i="8"/>
  <c r="F199" i="8"/>
  <c r="F201" i="8" s="1"/>
  <c r="G199" i="8"/>
  <c r="G201" i="8" s="1"/>
  <c r="H199" i="8"/>
  <c r="H201" i="8" s="1"/>
  <c r="I199" i="8"/>
  <c r="I201" i="8" s="1"/>
  <c r="E199" i="8"/>
  <c r="E201" i="8" s="1"/>
  <c r="F191" i="8"/>
  <c r="G191" i="8"/>
  <c r="H191" i="8"/>
  <c r="I191" i="8"/>
  <c r="F183" i="8"/>
  <c r="G183" i="8"/>
  <c r="H183" i="8"/>
  <c r="I183" i="8"/>
  <c r="F177" i="8"/>
  <c r="G177" i="8"/>
  <c r="F173" i="8"/>
  <c r="G173" i="8"/>
  <c r="H173" i="8"/>
  <c r="I173" i="8"/>
  <c r="E183" i="8"/>
  <c r="E177" i="8"/>
  <c r="E173" i="8"/>
  <c r="F165" i="8"/>
  <c r="G165" i="8"/>
  <c r="H165" i="8"/>
  <c r="I165" i="8"/>
  <c r="E165" i="8"/>
  <c r="F159" i="8"/>
  <c r="G159" i="8"/>
  <c r="H159" i="8"/>
  <c r="I159" i="8"/>
  <c r="E159" i="8"/>
  <c r="F155" i="8"/>
  <c r="G155" i="8"/>
  <c r="H155" i="8"/>
  <c r="I155" i="8"/>
  <c r="E155" i="8"/>
  <c r="F131" i="8"/>
  <c r="G131" i="8"/>
  <c r="H131" i="8"/>
  <c r="I131" i="8"/>
  <c r="E131" i="8"/>
  <c r="F122" i="8"/>
  <c r="G122" i="8"/>
  <c r="H122" i="8"/>
  <c r="I122" i="8"/>
  <c r="E122" i="8"/>
  <c r="F113" i="8"/>
  <c r="G113" i="8"/>
  <c r="H113" i="8"/>
  <c r="I113" i="8"/>
  <c r="E113" i="8"/>
  <c r="F106" i="8"/>
  <c r="G106" i="8"/>
  <c r="I106" i="8"/>
  <c r="E106" i="8"/>
  <c r="F99" i="8"/>
  <c r="G99" i="8"/>
  <c r="I99" i="8"/>
  <c r="E99" i="8"/>
  <c r="F87" i="8"/>
  <c r="G87" i="8"/>
  <c r="I87" i="8"/>
  <c r="E87" i="8"/>
  <c r="F79" i="8"/>
  <c r="G79" i="8"/>
  <c r="H79" i="8"/>
  <c r="I79" i="8"/>
  <c r="E79" i="8"/>
  <c r="F73" i="8"/>
  <c r="G73" i="8"/>
  <c r="I73" i="8"/>
  <c r="E73" i="8"/>
  <c r="F42" i="8"/>
  <c r="G42" i="8"/>
  <c r="E42" i="8"/>
  <c r="F27" i="8"/>
  <c r="G27" i="8"/>
  <c r="H27" i="8"/>
  <c r="I27" i="8"/>
  <c r="E27" i="8"/>
  <c r="F22" i="8"/>
  <c r="G22" i="8"/>
  <c r="I22" i="8"/>
  <c r="E22" i="8"/>
  <c r="H499" i="8" l="1"/>
  <c r="G217" i="8"/>
  <c r="G274" i="8" s="1"/>
  <c r="F443" i="8"/>
  <c r="E161" i="8"/>
  <c r="E167" i="8" s="1"/>
  <c r="G179" i="8"/>
  <c r="G193" i="8" s="1"/>
  <c r="G443" i="8"/>
  <c r="G481" i="8" s="1"/>
  <c r="I161" i="8"/>
  <c r="I167" i="8" s="1"/>
  <c r="F161" i="8"/>
  <c r="F167" i="8" s="1"/>
  <c r="G287" i="8"/>
  <c r="G294" i="8" s="1"/>
  <c r="F134" i="8"/>
  <c r="G161" i="8"/>
  <c r="G167" i="8" s="1"/>
  <c r="F287" i="8"/>
  <c r="F294" i="8" s="1"/>
  <c r="F179" i="8"/>
  <c r="F193" i="8" s="1"/>
  <c r="G134" i="8"/>
  <c r="H161" i="8"/>
  <c r="H167" i="8" s="1"/>
  <c r="E179" i="8"/>
  <c r="E443" i="8"/>
  <c r="E134" i="8"/>
  <c r="H15" i="18" l="1"/>
  <c r="G103" i="2" l="1"/>
  <c r="G104" i="2"/>
  <c r="F103" i="2"/>
  <c r="F104" i="2"/>
  <c r="E103" i="2"/>
  <c r="E104" i="2"/>
  <c r="D103" i="2"/>
  <c r="D104" i="2"/>
  <c r="C103" i="2"/>
  <c r="C104" i="2"/>
  <c r="I42" i="8" l="1"/>
  <c r="I134" i="8" s="1"/>
  <c r="I666" i="8"/>
  <c r="I670" i="8" s="1"/>
  <c r="I176" i="8"/>
  <c r="I177" i="8" s="1"/>
  <c r="I179" i="8" s="1"/>
  <c r="I193" i="8" s="1"/>
  <c r="H176" i="8"/>
  <c r="H177" i="8" s="1"/>
  <c r="H179" i="8" s="1"/>
  <c r="H193" i="8" s="1"/>
  <c r="G9" i="19" l="1"/>
  <c r="H54" i="23" l="1"/>
  <c r="G11" i="23"/>
  <c r="E7" i="22" s="1"/>
  <c r="F18" i="23"/>
  <c r="D8" i="22" s="1"/>
  <c r="G18" i="23"/>
  <c r="E8" i="22" s="1"/>
  <c r="I18" i="23"/>
  <c r="G8" i="22" s="1"/>
  <c r="E18" i="23"/>
  <c r="C8" i="22" s="1"/>
  <c r="E9" i="22" l="1"/>
  <c r="H18" i="23"/>
  <c r="F8" i="22" s="1"/>
  <c r="B279" i="2" l="1"/>
  <c r="D279" i="2" l="1"/>
  <c r="D281" i="2" s="1"/>
  <c r="E279" i="2"/>
  <c r="C279" i="2"/>
  <c r="G279" i="2"/>
  <c r="B275" i="2"/>
  <c r="F279" i="2" l="1"/>
  <c r="B301" i="2"/>
  <c r="G186" i="2"/>
  <c r="F186" i="2"/>
  <c r="E186" i="2"/>
  <c r="D186" i="2"/>
  <c r="C186" i="2"/>
  <c r="G159" i="2"/>
  <c r="F159" i="2"/>
  <c r="E159" i="2"/>
  <c r="D159" i="2"/>
  <c r="C159" i="2"/>
  <c r="G136" i="2" l="1"/>
  <c r="G116" i="2"/>
  <c r="D118" i="2"/>
  <c r="D120" i="2"/>
  <c r="F116" i="2"/>
  <c r="E116" i="2"/>
  <c r="D116" i="2"/>
  <c r="C118" i="2"/>
  <c r="C120" i="2"/>
  <c r="C116" i="2"/>
  <c r="G109" i="2"/>
  <c r="G110" i="2"/>
  <c r="G111" i="2"/>
  <c r="G112" i="2"/>
  <c r="G108" i="2"/>
  <c r="F109" i="2"/>
  <c r="F110" i="2"/>
  <c r="F111" i="2"/>
  <c r="F112" i="2"/>
  <c r="F108" i="2"/>
  <c r="E109" i="2"/>
  <c r="E110" i="2"/>
  <c r="E111" i="2"/>
  <c r="E112" i="2"/>
  <c r="E108" i="2"/>
  <c r="D109" i="2"/>
  <c r="D110" i="2"/>
  <c r="D111" i="2"/>
  <c r="D112" i="2"/>
  <c r="D108" i="2"/>
  <c r="C109" i="2"/>
  <c r="C110" i="2"/>
  <c r="C111" i="2"/>
  <c r="C112" i="2"/>
  <c r="C108" i="2"/>
  <c r="G102" i="2"/>
  <c r="F102" i="2"/>
  <c r="E102" i="2"/>
  <c r="D102" i="2"/>
  <c r="C102" i="2"/>
  <c r="G97" i="2"/>
  <c r="G98" i="2"/>
  <c r="G96" i="2"/>
  <c r="E97" i="2"/>
  <c r="E98" i="2"/>
  <c r="D97" i="2"/>
  <c r="D98" i="2"/>
  <c r="C97" i="2"/>
  <c r="C98" i="2"/>
  <c r="E96" i="2"/>
  <c r="D96" i="2"/>
  <c r="C96" i="2"/>
  <c r="G87" i="2"/>
  <c r="G88" i="2"/>
  <c r="G89" i="2"/>
  <c r="G90" i="2"/>
  <c r="G91" i="2"/>
  <c r="G92" i="2"/>
  <c r="F87" i="2"/>
  <c r="F89" i="2"/>
  <c r="F90" i="2"/>
  <c r="F91" i="2"/>
  <c r="E88" i="2"/>
  <c r="E89" i="2"/>
  <c r="E90" i="2"/>
  <c r="E91" i="2"/>
  <c r="E92" i="2"/>
  <c r="D87" i="2"/>
  <c r="D88" i="2"/>
  <c r="D89" i="2"/>
  <c r="D90" i="2"/>
  <c r="D91" i="2"/>
  <c r="D92" i="2"/>
  <c r="C87" i="2"/>
  <c r="C88" i="2"/>
  <c r="C89" i="2"/>
  <c r="C90" i="2"/>
  <c r="C91" i="2"/>
  <c r="C92" i="2"/>
  <c r="G85" i="2"/>
  <c r="F85" i="2"/>
  <c r="E85" i="2"/>
  <c r="D85" i="2"/>
  <c r="C85" i="2"/>
  <c r="G79" i="2"/>
  <c r="G80" i="2"/>
  <c r="G81" i="2"/>
  <c r="G78" i="2"/>
  <c r="F80" i="2"/>
  <c r="E79" i="2"/>
  <c r="E80" i="2"/>
  <c r="E81" i="2"/>
  <c r="E78" i="2"/>
  <c r="D79" i="2"/>
  <c r="D80" i="2"/>
  <c r="D81" i="2"/>
  <c r="D78" i="2"/>
  <c r="C79" i="2"/>
  <c r="C80" i="2"/>
  <c r="C81" i="2"/>
  <c r="C78" i="2"/>
  <c r="G74" i="2"/>
  <c r="G73" i="2"/>
  <c r="F74" i="2"/>
  <c r="F73" i="2"/>
  <c r="E74" i="2"/>
  <c r="E73" i="2"/>
  <c r="D74" i="2"/>
  <c r="D73" i="2"/>
  <c r="C74" i="2"/>
  <c r="C7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6" i="2"/>
  <c r="G67" i="2"/>
  <c r="G68" i="2"/>
  <c r="G69" i="2"/>
  <c r="F44" i="2"/>
  <c r="F45" i="2"/>
  <c r="F46" i="2"/>
  <c r="F52" i="2"/>
  <c r="F55" i="2"/>
  <c r="F56" i="2"/>
  <c r="F57" i="2"/>
  <c r="F58" i="2"/>
  <c r="F59" i="2"/>
  <c r="F60" i="2"/>
  <c r="F61" i="2"/>
  <c r="F62" i="2"/>
  <c r="F63" i="2"/>
  <c r="F65" i="2"/>
  <c r="F66" i="2"/>
  <c r="F67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5" i="2"/>
  <c r="E66" i="2"/>
  <c r="E67" i="2"/>
  <c r="E68" i="2"/>
  <c r="E69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5" i="2"/>
  <c r="D66" i="2"/>
  <c r="D67" i="2"/>
  <c r="D68" i="2"/>
  <c r="D69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5" i="2"/>
  <c r="C66" i="2"/>
  <c r="C67" i="2"/>
  <c r="C68" i="2"/>
  <c r="C69" i="2"/>
  <c r="G43" i="2"/>
  <c r="F43" i="2"/>
  <c r="E43" i="2"/>
  <c r="D43" i="2"/>
  <c r="C43" i="2"/>
  <c r="G30" i="2"/>
  <c r="G31" i="2"/>
  <c r="G32" i="2"/>
  <c r="G33" i="2"/>
  <c r="G34" i="2"/>
  <c r="G35" i="2"/>
  <c r="G36" i="2"/>
  <c r="G37" i="2"/>
  <c r="G38" i="2"/>
  <c r="G39" i="2"/>
  <c r="G29" i="2"/>
  <c r="F32" i="2"/>
  <c r="F33" i="2"/>
  <c r="F34" i="2"/>
  <c r="F36" i="2"/>
  <c r="F29" i="2"/>
  <c r="E30" i="2"/>
  <c r="E31" i="2"/>
  <c r="E32" i="2"/>
  <c r="E33" i="2"/>
  <c r="E34" i="2"/>
  <c r="E35" i="2"/>
  <c r="E36" i="2"/>
  <c r="E37" i="2"/>
  <c r="E38" i="2"/>
  <c r="E39" i="2"/>
  <c r="E29" i="2"/>
  <c r="D30" i="2"/>
  <c r="D31" i="2"/>
  <c r="D32" i="2"/>
  <c r="D33" i="2"/>
  <c r="D34" i="2"/>
  <c r="D35" i="2"/>
  <c r="D36" i="2"/>
  <c r="D37" i="2"/>
  <c r="D38" i="2"/>
  <c r="D39" i="2"/>
  <c r="D29" i="2"/>
  <c r="C30" i="2"/>
  <c r="C31" i="2"/>
  <c r="C32" i="2"/>
  <c r="C33" i="2"/>
  <c r="C34" i="2"/>
  <c r="C35" i="2"/>
  <c r="C36" i="2"/>
  <c r="C37" i="2"/>
  <c r="C38" i="2"/>
  <c r="C39" i="2"/>
  <c r="C29" i="2"/>
  <c r="G25" i="2"/>
  <c r="D25" i="2"/>
  <c r="E25" i="2"/>
  <c r="C25" i="2"/>
  <c r="G10" i="2"/>
  <c r="G11" i="2"/>
  <c r="G12" i="2"/>
  <c r="G13" i="2"/>
  <c r="G14" i="2"/>
  <c r="G15" i="2"/>
  <c r="G16" i="2"/>
  <c r="G17" i="2"/>
  <c r="G18" i="2"/>
  <c r="G20" i="2"/>
  <c r="G21" i="2"/>
  <c r="G9" i="2"/>
  <c r="E10" i="2"/>
  <c r="E11" i="2"/>
  <c r="E12" i="2"/>
  <c r="E13" i="2"/>
  <c r="E14" i="2"/>
  <c r="E15" i="2"/>
  <c r="E16" i="2"/>
  <c r="E17" i="2"/>
  <c r="E18" i="2"/>
  <c r="E19" i="2"/>
  <c r="E20" i="2"/>
  <c r="E21" i="2"/>
  <c r="D10" i="2"/>
  <c r="D11" i="2"/>
  <c r="D12" i="2"/>
  <c r="D13" i="2"/>
  <c r="D14" i="2"/>
  <c r="D15" i="2"/>
  <c r="D16" i="2"/>
  <c r="D17" i="2"/>
  <c r="D18" i="2"/>
  <c r="D19" i="2"/>
  <c r="D20" i="2"/>
  <c r="D21" i="2"/>
  <c r="D9" i="2"/>
  <c r="C10" i="2"/>
  <c r="C11" i="2"/>
  <c r="C12" i="2"/>
  <c r="C13" i="2"/>
  <c r="C14" i="2"/>
  <c r="C15" i="2"/>
  <c r="C16" i="2"/>
  <c r="C17" i="2"/>
  <c r="C18" i="2"/>
  <c r="C19" i="2"/>
  <c r="C20" i="2"/>
  <c r="C21" i="2"/>
  <c r="C9" i="2"/>
  <c r="I872" i="8"/>
  <c r="G274" i="2" s="1"/>
  <c r="G271" i="2"/>
  <c r="G270" i="2"/>
  <c r="I842" i="8"/>
  <c r="G269" i="2" s="1"/>
  <c r="I827" i="8"/>
  <c r="I819" i="8"/>
  <c r="G264" i="2" s="1"/>
  <c r="I811" i="8"/>
  <c r="G262" i="2" s="1"/>
  <c r="G261" i="2"/>
  <c r="I791" i="8"/>
  <c r="I794" i="8" s="1"/>
  <c r="I797" i="8" s="1"/>
  <c r="E22" i="2" l="1"/>
  <c r="I832" i="8"/>
  <c r="I836" i="8" s="1"/>
  <c r="G121" i="2"/>
  <c r="G99" i="2"/>
  <c r="I799" i="8"/>
  <c r="I838" i="8" l="1"/>
  <c r="G260" i="2"/>
  <c r="G265" i="2" s="1"/>
  <c r="I821" i="8"/>
  <c r="G268" i="2" l="1"/>
  <c r="G275" i="2" s="1"/>
  <c r="I874" i="8"/>
  <c r="C170" i="2"/>
  <c r="H292" i="8"/>
  <c r="F92" i="2"/>
  <c r="F98" i="2"/>
  <c r="F97" i="2"/>
  <c r="F81" i="2"/>
  <c r="F79" i="2"/>
  <c r="F69" i="2"/>
  <c r="F68" i="2"/>
  <c r="F54" i="2"/>
  <c r="F53" i="2"/>
  <c r="F51" i="2"/>
  <c r="F50" i="2"/>
  <c r="F49" i="2"/>
  <c r="F48" i="2"/>
  <c r="F39" i="2"/>
  <c r="F38" i="2"/>
  <c r="F37" i="2"/>
  <c r="F35" i="2"/>
  <c r="F31" i="2"/>
  <c r="G19" i="2"/>
  <c r="H255" i="8" l="1"/>
  <c r="F47" i="2"/>
  <c r="H73" i="8"/>
  <c r="F96" i="2"/>
  <c r="H106" i="8"/>
  <c r="F78" i="2"/>
  <c r="H87" i="8"/>
  <c r="F88" i="2"/>
  <c r="H99" i="8"/>
  <c r="H249" i="8"/>
  <c r="F30" i="2"/>
  <c r="H42" i="8"/>
  <c r="F25" i="2"/>
  <c r="G301" i="2"/>
  <c r="F154" i="2" l="1"/>
  <c r="H134" i="8"/>
  <c r="G26" i="2" l="1"/>
  <c r="G21" i="24" l="1"/>
  <c r="G24" i="24" s="1"/>
  <c r="G82" i="2" l="1"/>
  <c r="G105" i="2"/>
  <c r="G113" i="2"/>
  <c r="G93" i="2"/>
  <c r="G75" i="2" l="1"/>
  <c r="G70" i="2"/>
  <c r="G40" i="2"/>
  <c r="G22" i="2"/>
  <c r="G125" i="2" l="1"/>
  <c r="E295" i="2"/>
  <c r="D295" i="2" l="1"/>
  <c r="D294" i="2" l="1"/>
  <c r="B105" i="2" l="1"/>
  <c r="C185" i="2" l="1"/>
  <c r="D185" i="2"/>
  <c r="E185" i="2"/>
  <c r="F185" i="2"/>
  <c r="G185" i="2"/>
  <c r="C207" i="2"/>
  <c r="D207" i="2"/>
  <c r="E207" i="2"/>
  <c r="F207" i="2"/>
  <c r="G207" i="2"/>
  <c r="G158" i="2"/>
  <c r="F158" i="2"/>
  <c r="E158" i="2"/>
  <c r="D158" i="2"/>
  <c r="C158" i="2"/>
  <c r="C271" i="2" l="1"/>
  <c r="D271" i="2"/>
  <c r="E271" i="2"/>
  <c r="F271" i="2"/>
  <c r="B10" i="19" l="1"/>
  <c r="D33" i="19" l="1"/>
  <c r="D10" i="29" l="1"/>
  <c r="D25" i="29"/>
  <c r="D18" i="29"/>
  <c r="C18" i="29"/>
  <c r="E18" i="29"/>
  <c r="F18" i="29"/>
  <c r="G18" i="29"/>
  <c r="B18" i="29"/>
  <c r="C10" i="29"/>
  <c r="E10" i="29"/>
  <c r="F10" i="29"/>
  <c r="G10" i="29"/>
  <c r="B10" i="29"/>
  <c r="G25" i="29"/>
  <c r="F25" i="29"/>
  <c r="E25" i="29"/>
  <c r="C25" i="29"/>
  <c r="B25" i="29"/>
  <c r="B20" i="29" l="1"/>
  <c r="D20" i="29"/>
  <c r="D27" i="29" s="1"/>
  <c r="F20" i="29"/>
  <c r="F27" i="29" s="1"/>
  <c r="C20" i="29"/>
  <c r="C27" i="29" s="1"/>
  <c r="E20" i="29"/>
  <c r="E27" i="29" s="1"/>
  <c r="B27" i="29"/>
  <c r="B30" i="29" s="1"/>
  <c r="G20" i="29"/>
  <c r="G27" i="29" s="1"/>
  <c r="C29" i="29" l="1"/>
  <c r="C30" i="29" s="1"/>
  <c r="D29" i="29" s="1"/>
  <c r="D30" i="29" s="1"/>
  <c r="F29" i="29"/>
  <c r="F30" i="29" s="1"/>
  <c r="G29" i="29" s="1"/>
  <c r="G30" i="29" s="1"/>
  <c r="E29" i="29"/>
  <c r="E30" i="29" s="1"/>
  <c r="B121" i="2" l="1"/>
  <c r="I72" i="21" l="1"/>
  <c r="G20" i="20" s="1"/>
  <c r="H72" i="21"/>
  <c r="F20" i="20" s="1"/>
  <c r="G72" i="21"/>
  <c r="E20" i="20" s="1"/>
  <c r="F72" i="21"/>
  <c r="D20" i="20" s="1"/>
  <c r="E72" i="21"/>
  <c r="C20" i="20" s="1"/>
  <c r="F36" i="21"/>
  <c r="F38" i="21" s="1"/>
  <c r="G36" i="21"/>
  <c r="F13" i="21"/>
  <c r="D8" i="20" s="1"/>
  <c r="G13" i="21"/>
  <c r="E8" i="20" s="1"/>
  <c r="H13" i="21"/>
  <c r="F8" i="20" s="1"/>
  <c r="I13" i="21"/>
  <c r="G8" i="20" s="1"/>
  <c r="E13" i="21"/>
  <c r="C8" i="20" s="1"/>
  <c r="B11" i="20"/>
  <c r="I21" i="21"/>
  <c r="G10" i="20" s="1"/>
  <c r="H21" i="21"/>
  <c r="F10" i="20" s="1"/>
  <c r="G21" i="21"/>
  <c r="E10" i="20" s="1"/>
  <c r="F21" i="21"/>
  <c r="D10" i="20" s="1"/>
  <c r="E21" i="21"/>
  <c r="C10" i="20" s="1"/>
  <c r="F17" i="21"/>
  <c r="D9" i="20" s="1"/>
  <c r="G17" i="21"/>
  <c r="E9" i="20" s="1"/>
  <c r="H17" i="21"/>
  <c r="F9" i="20" s="1"/>
  <c r="I17" i="21"/>
  <c r="G9" i="20" s="1"/>
  <c r="E17" i="21"/>
  <c r="C9" i="20" s="1"/>
  <c r="C21" i="24"/>
  <c r="C24" i="24" s="1"/>
  <c r="B22" i="22"/>
  <c r="I80" i="23"/>
  <c r="H80" i="23"/>
  <c r="F21" i="22" s="1"/>
  <c r="F33" i="22" s="1"/>
  <c r="G80" i="23"/>
  <c r="E21" i="22" s="1"/>
  <c r="F80" i="23"/>
  <c r="D21" i="22" s="1"/>
  <c r="D33" i="22" s="1"/>
  <c r="D34" i="22" s="1"/>
  <c r="D37" i="22" s="1"/>
  <c r="E80" i="23"/>
  <c r="C21" i="22" s="1"/>
  <c r="C33" i="22" s="1"/>
  <c r="I76" i="23"/>
  <c r="G20" i="22" s="1"/>
  <c r="H76" i="23"/>
  <c r="F20" i="22" s="1"/>
  <c r="G76" i="23"/>
  <c r="E20" i="22" s="1"/>
  <c r="E33" i="22" s="1"/>
  <c r="F76" i="23"/>
  <c r="D20" i="22" s="1"/>
  <c r="E76" i="23"/>
  <c r="C20" i="22" s="1"/>
  <c r="G17" i="22"/>
  <c r="F17" i="22"/>
  <c r="E17" i="22"/>
  <c r="D17" i="22"/>
  <c r="C17" i="22"/>
  <c r="D16" i="22"/>
  <c r="F42" i="23"/>
  <c r="D14" i="22" s="1"/>
  <c r="G42" i="23"/>
  <c r="E14" i="22" s="1"/>
  <c r="H42" i="23"/>
  <c r="F14" i="22" s="1"/>
  <c r="I42" i="23"/>
  <c r="G14" i="22" s="1"/>
  <c r="F30" i="23"/>
  <c r="G30" i="23"/>
  <c r="H30" i="23"/>
  <c r="H33" i="23" s="1"/>
  <c r="I30" i="23"/>
  <c r="I33" i="23" s="1"/>
  <c r="F11" i="23"/>
  <c r="H11" i="23"/>
  <c r="F7" i="22" s="1"/>
  <c r="F9" i="22" s="1"/>
  <c r="I11" i="23"/>
  <c r="G7" i="22" s="1"/>
  <c r="G9" i="22" s="1"/>
  <c r="E11" i="23"/>
  <c r="C7" i="22" s="1"/>
  <c r="B9" i="22"/>
  <c r="B48" i="22" s="1"/>
  <c r="D15" i="20" l="1"/>
  <c r="D21" i="20" s="1"/>
  <c r="F74" i="21"/>
  <c r="G21" i="22"/>
  <c r="G46" i="22" s="1"/>
  <c r="G11" i="20"/>
  <c r="D11" i="20"/>
  <c r="F46" i="22"/>
  <c r="E46" i="22"/>
  <c r="E48" i="22" s="1"/>
  <c r="F11" i="20"/>
  <c r="E11" i="20"/>
  <c r="B23" i="20"/>
  <c r="F20" i="23"/>
  <c r="D7" i="22"/>
  <c r="D9" i="22" s="1"/>
  <c r="D47" i="22" s="1"/>
  <c r="D48" i="22" s="1"/>
  <c r="D50" i="22" s="1"/>
  <c r="F38" i="23"/>
  <c r="I23" i="21"/>
  <c r="H23" i="21"/>
  <c r="G23" i="21"/>
  <c r="C11" i="20"/>
  <c r="E23" i="21"/>
  <c r="F23" i="21"/>
  <c r="D164" i="2"/>
  <c r="E164" i="2"/>
  <c r="F164" i="2"/>
  <c r="G164" i="2"/>
  <c r="C164" i="2"/>
  <c r="D13" i="22" l="1"/>
  <c r="F82" i="23"/>
  <c r="D23" i="20"/>
  <c r="D29" i="20" s="1"/>
  <c r="D293" i="2"/>
  <c r="D291" i="2"/>
  <c r="I91" i="18" l="1"/>
  <c r="G22" i="19" s="1"/>
  <c r="H91" i="18"/>
  <c r="F22" i="19" s="1"/>
  <c r="G91" i="18"/>
  <c r="E22" i="19" s="1"/>
  <c r="E36" i="19" s="1"/>
  <c r="F91" i="18"/>
  <c r="D22" i="19" s="1"/>
  <c r="D36" i="19" s="1"/>
  <c r="E91" i="18"/>
  <c r="C22" i="19" s="1"/>
  <c r="C36" i="19" s="1"/>
  <c r="I84" i="18"/>
  <c r="G21" i="19" s="1"/>
  <c r="G51" i="19" s="1"/>
  <c r="H84" i="18"/>
  <c r="F21" i="19" s="1"/>
  <c r="F51" i="19" s="1"/>
  <c r="G84" i="18"/>
  <c r="E21" i="19" s="1"/>
  <c r="E51" i="19" s="1"/>
  <c r="F84" i="18"/>
  <c r="D21" i="19" s="1"/>
  <c r="C21" i="19"/>
  <c r="G18" i="19"/>
  <c r="F18" i="19"/>
  <c r="E18" i="19"/>
  <c r="D18" i="19"/>
  <c r="I66" i="18"/>
  <c r="H66" i="18"/>
  <c r="F17" i="19" s="1"/>
  <c r="G66" i="18"/>
  <c r="E17" i="19" s="1"/>
  <c r="F66" i="18"/>
  <c r="D17" i="19" s="1"/>
  <c r="E66" i="18"/>
  <c r="C17" i="19" s="1"/>
  <c r="I43" i="18"/>
  <c r="G15" i="19" s="1"/>
  <c r="H43" i="18"/>
  <c r="F15" i="19" s="1"/>
  <c r="G43" i="18"/>
  <c r="E15" i="19" s="1"/>
  <c r="F43" i="18"/>
  <c r="D15" i="19" s="1"/>
  <c r="E43" i="18"/>
  <c r="C15" i="19" s="1"/>
  <c r="G38" i="18"/>
  <c r="F38" i="18"/>
  <c r="E38" i="18"/>
  <c r="I31" i="18"/>
  <c r="I34" i="18" s="1"/>
  <c r="H31" i="18"/>
  <c r="H34" i="18" s="1"/>
  <c r="G31" i="18"/>
  <c r="F31" i="18"/>
  <c r="E31" i="18"/>
  <c r="H19" i="18"/>
  <c r="F9" i="19" s="1"/>
  <c r="G19" i="18"/>
  <c r="E9" i="19" s="1"/>
  <c r="F19" i="18"/>
  <c r="D9" i="19" s="1"/>
  <c r="E19" i="18"/>
  <c r="C9" i="19" s="1"/>
  <c r="I15" i="18"/>
  <c r="G8" i="19" s="1"/>
  <c r="G15" i="18"/>
  <c r="E8" i="19" s="1"/>
  <c r="F15" i="18"/>
  <c r="D8" i="19" s="1"/>
  <c r="E15" i="18"/>
  <c r="C8" i="19" s="1"/>
  <c r="I11" i="18"/>
  <c r="G7" i="19" s="1"/>
  <c r="H11" i="18"/>
  <c r="F7" i="19" s="1"/>
  <c r="G11" i="18"/>
  <c r="E7" i="19" s="1"/>
  <c r="F11" i="18"/>
  <c r="D7" i="19" s="1"/>
  <c r="E11" i="18"/>
  <c r="C7" i="19" s="1"/>
  <c r="C33" i="19"/>
  <c r="B33" i="19"/>
  <c r="G31" i="19"/>
  <c r="F33" i="19"/>
  <c r="E31" i="19"/>
  <c r="E33" i="19" s="1"/>
  <c r="B23" i="19"/>
  <c r="B54" i="19"/>
  <c r="D37" i="12"/>
  <c r="D39" i="12" s="1"/>
  <c r="D25" i="12"/>
  <c r="F40" i="11"/>
  <c r="F14" i="11"/>
  <c r="D9" i="12" s="1"/>
  <c r="F10" i="11"/>
  <c r="D8" i="12" s="1"/>
  <c r="D10" i="12" s="1"/>
  <c r="D17" i="12" l="1"/>
  <c r="F42" i="11"/>
  <c r="G17" i="19"/>
  <c r="D18" i="12"/>
  <c r="D20" i="12" s="1"/>
  <c r="D27" i="12" s="1"/>
  <c r="F16" i="11"/>
  <c r="G39" i="18"/>
  <c r="C10" i="19"/>
  <c r="E21" i="18"/>
  <c r="G10" i="19"/>
  <c r="I21" i="18"/>
  <c r="D10" i="19"/>
  <c r="F21" i="18"/>
  <c r="E10" i="19"/>
  <c r="E54" i="19" s="1"/>
  <c r="G21" i="18"/>
  <c r="F10" i="19"/>
  <c r="F54" i="19" s="1"/>
  <c r="H21" i="18"/>
  <c r="F39" i="18"/>
  <c r="E39" i="18"/>
  <c r="E93" i="18" s="1"/>
  <c r="B26" i="19"/>
  <c r="B35" i="19" s="1"/>
  <c r="B24" i="10"/>
  <c r="C24" i="10"/>
  <c r="D24" i="10"/>
  <c r="E24" i="10"/>
  <c r="F24" i="10"/>
  <c r="F53" i="9"/>
  <c r="D15" i="10" s="1"/>
  <c r="G53" i="9"/>
  <c r="E15" i="10" s="1"/>
  <c r="H53" i="9"/>
  <c r="F15" i="10" s="1"/>
  <c r="I53" i="9"/>
  <c r="G15" i="10" s="1"/>
  <c r="E53" i="9"/>
  <c r="F49" i="9"/>
  <c r="D14" i="10" s="1"/>
  <c r="G49" i="9"/>
  <c r="E14" i="10" s="1"/>
  <c r="H49" i="9"/>
  <c r="F14" i="10" s="1"/>
  <c r="I49" i="9"/>
  <c r="G14" i="10" s="1"/>
  <c r="E49" i="9"/>
  <c r="F45" i="9"/>
  <c r="D13" i="10" s="1"/>
  <c r="G45" i="9"/>
  <c r="E13" i="10" s="1"/>
  <c r="H45" i="9"/>
  <c r="F13" i="10" s="1"/>
  <c r="I45" i="9"/>
  <c r="G13" i="10" s="1"/>
  <c r="E45" i="9"/>
  <c r="C13" i="10" s="1"/>
  <c r="F23" i="9"/>
  <c r="D12" i="10" s="1"/>
  <c r="G23" i="9"/>
  <c r="E12" i="10" s="1"/>
  <c r="H23" i="9"/>
  <c r="F12" i="10" s="1"/>
  <c r="I23" i="9"/>
  <c r="G12" i="10" s="1"/>
  <c r="E23" i="9"/>
  <c r="F12" i="9"/>
  <c r="B15" i="10" l="1"/>
  <c r="C15" i="10"/>
  <c r="B14" i="10"/>
  <c r="C14" i="10"/>
  <c r="D16" i="10"/>
  <c r="D18" i="10" s="1"/>
  <c r="D26" i="10" s="1"/>
  <c r="D29" i="10" s="1"/>
  <c r="B12" i="10"/>
  <c r="B16" i="10" s="1"/>
  <c r="C12" i="10"/>
  <c r="E14" i="19"/>
  <c r="G93" i="18"/>
  <c r="D14" i="19"/>
  <c r="F93" i="18"/>
  <c r="G16" i="10"/>
  <c r="G18" i="10" s="1"/>
  <c r="G26" i="10" s="1"/>
  <c r="B37" i="19"/>
  <c r="B40" i="19" s="1"/>
  <c r="F16" i="10"/>
  <c r="F18" i="10" s="1"/>
  <c r="F26" i="10" s="1"/>
  <c r="E16" i="10"/>
  <c r="E18" i="10" s="1"/>
  <c r="E26" i="10" s="1"/>
  <c r="C14" i="19"/>
  <c r="D53" i="19"/>
  <c r="G54" i="19"/>
  <c r="H55" i="9"/>
  <c r="H38" i="18"/>
  <c r="H39" i="18" s="1"/>
  <c r="I38" i="18"/>
  <c r="I39" i="18" s="1"/>
  <c r="I55" i="9"/>
  <c r="G55" i="9"/>
  <c r="C54" i="19"/>
  <c r="F55" i="9"/>
  <c r="E55" i="9"/>
  <c r="I125" i="13"/>
  <c r="G24" i="14" s="1"/>
  <c r="H125" i="13"/>
  <c r="F24" i="14" s="1"/>
  <c r="F125" i="13"/>
  <c r="D24" i="14" s="1"/>
  <c r="D38" i="14" s="1"/>
  <c r="E125" i="13"/>
  <c r="C24" i="14" s="1"/>
  <c r="C38" i="14" s="1"/>
  <c r="B25" i="14"/>
  <c r="D23" i="14"/>
  <c r="E23" i="14"/>
  <c r="E53" i="14" s="1"/>
  <c r="F23" i="14"/>
  <c r="F53" i="14" s="1"/>
  <c r="G23" i="14"/>
  <c r="G53" i="14" s="1"/>
  <c r="G56" i="14" s="1"/>
  <c r="C23" i="14"/>
  <c r="D21" i="14"/>
  <c r="C21" i="14"/>
  <c r="D19" i="14"/>
  <c r="C19" i="14"/>
  <c r="D17" i="14"/>
  <c r="C17" i="14"/>
  <c r="F49" i="13"/>
  <c r="G49" i="13"/>
  <c r="E49" i="13"/>
  <c r="F42" i="13"/>
  <c r="G42" i="13"/>
  <c r="H42" i="13"/>
  <c r="H45" i="13" s="1"/>
  <c r="I42" i="13"/>
  <c r="I45" i="13" s="1"/>
  <c r="E42" i="13"/>
  <c r="I29" i="13"/>
  <c r="G10" i="14" s="1"/>
  <c r="H29" i="13"/>
  <c r="F10" i="14" s="1"/>
  <c r="G29" i="13"/>
  <c r="E10" i="14" s="1"/>
  <c r="F29" i="13"/>
  <c r="D10" i="14" s="1"/>
  <c r="E29" i="13"/>
  <c r="C10" i="14" s="1"/>
  <c r="I25" i="13"/>
  <c r="G9" i="14" s="1"/>
  <c r="H25" i="13"/>
  <c r="F9" i="14" s="1"/>
  <c r="G25" i="13"/>
  <c r="E9" i="14" s="1"/>
  <c r="F25" i="13"/>
  <c r="D9" i="14" s="1"/>
  <c r="E25" i="13"/>
  <c r="C9" i="14" s="1"/>
  <c r="I17" i="13"/>
  <c r="G8" i="14" s="1"/>
  <c r="H17" i="13"/>
  <c r="F8" i="14" s="1"/>
  <c r="G17" i="13"/>
  <c r="E8" i="14" s="1"/>
  <c r="F17" i="13"/>
  <c r="D8" i="14" s="1"/>
  <c r="E17" i="13"/>
  <c r="C8" i="14" s="1"/>
  <c r="F12" i="13"/>
  <c r="D7" i="14" s="1"/>
  <c r="G12" i="13"/>
  <c r="E7" i="14" s="1"/>
  <c r="H12" i="13"/>
  <c r="F7" i="14" s="1"/>
  <c r="I12" i="13"/>
  <c r="G7" i="14" s="1"/>
  <c r="C7" i="14"/>
  <c r="D301" i="2"/>
  <c r="D174" i="2"/>
  <c r="D172" i="2"/>
  <c r="H283" i="8"/>
  <c r="E283" i="8"/>
  <c r="C136" i="2"/>
  <c r="C16" i="10" l="1"/>
  <c r="C18" i="10" s="1"/>
  <c r="C26" i="10" s="1"/>
  <c r="G14" i="19"/>
  <c r="I93" i="18"/>
  <c r="H285" i="8"/>
  <c r="H287" i="8" s="1"/>
  <c r="E285" i="8"/>
  <c r="E287" i="8" s="1"/>
  <c r="F14" i="19"/>
  <c r="H93" i="18"/>
  <c r="F39" i="19"/>
  <c r="C39" i="19"/>
  <c r="E39" i="19"/>
  <c r="G50" i="13"/>
  <c r="I283" i="8"/>
  <c r="I285" i="8" s="1"/>
  <c r="E31" i="13"/>
  <c r="G33" i="19"/>
  <c r="E11" i="14"/>
  <c r="B56" i="19"/>
  <c r="B58" i="19" s="1"/>
  <c r="D163" i="2"/>
  <c r="D165" i="2" s="1"/>
  <c r="E50" i="13"/>
  <c r="C15" i="14" s="1"/>
  <c r="F50" i="13"/>
  <c r="D15" i="14" s="1"/>
  <c r="D11" i="14"/>
  <c r="D55" i="14" s="1"/>
  <c r="D56" i="14" s="1"/>
  <c r="F11" i="14"/>
  <c r="C11" i="14"/>
  <c r="G11" i="14"/>
  <c r="G31" i="13"/>
  <c r="F31" i="13"/>
  <c r="I31" i="13"/>
  <c r="H31" i="13"/>
  <c r="E163" i="2"/>
  <c r="E165" i="2" s="1"/>
  <c r="F211" i="8"/>
  <c r="F215" i="8" s="1"/>
  <c r="F217" i="8" s="1"/>
  <c r="F274" i="8" s="1"/>
  <c r="I211" i="8"/>
  <c r="I215" i="8" s="1"/>
  <c r="I217" i="8" s="1"/>
  <c r="I274" i="8" s="1"/>
  <c r="E211" i="8"/>
  <c r="E215" i="8" s="1"/>
  <c r="E217" i="8" s="1"/>
  <c r="E274" i="8" s="1"/>
  <c r="B265" i="2"/>
  <c r="B257" i="2"/>
  <c r="B240" i="2"/>
  <c r="F872" i="8"/>
  <c r="D274" i="2" s="1"/>
  <c r="G872" i="8"/>
  <c r="E274" i="2" s="1"/>
  <c r="H872" i="8"/>
  <c r="F274" i="2" s="1"/>
  <c r="E872" i="8"/>
  <c r="C274" i="2" s="1"/>
  <c r="D270" i="2"/>
  <c r="E270" i="2"/>
  <c r="F270" i="2"/>
  <c r="C270" i="2"/>
  <c r="F842" i="8"/>
  <c r="D269" i="2" s="1"/>
  <c r="G842" i="8"/>
  <c r="E269" i="2" s="1"/>
  <c r="H842" i="8"/>
  <c r="F269" i="2" s="1"/>
  <c r="E842" i="8"/>
  <c r="C269" i="2" s="1"/>
  <c r="F827" i="8"/>
  <c r="G827" i="8"/>
  <c r="H827" i="8"/>
  <c r="E827" i="8"/>
  <c r="F819" i="8"/>
  <c r="D264" i="2" s="1"/>
  <c r="G819" i="8"/>
  <c r="E264" i="2" s="1"/>
  <c r="H819" i="8"/>
  <c r="F264" i="2" s="1"/>
  <c r="E819" i="8"/>
  <c r="C264" i="2" s="1"/>
  <c r="F811" i="8"/>
  <c r="D262" i="2" s="1"/>
  <c r="G811" i="8"/>
  <c r="E262" i="2" s="1"/>
  <c r="H811" i="8"/>
  <c r="F262" i="2" s="1"/>
  <c r="E811" i="8"/>
  <c r="C262" i="2" s="1"/>
  <c r="D261" i="2"/>
  <c r="E261" i="2"/>
  <c r="F261" i="2"/>
  <c r="C261" i="2"/>
  <c r="F791" i="8"/>
  <c r="G791" i="8"/>
  <c r="H791" i="8"/>
  <c r="E791" i="8"/>
  <c r="F783" i="8"/>
  <c r="D256" i="2" s="1"/>
  <c r="G783" i="8"/>
  <c r="E256" i="2" s="1"/>
  <c r="H783" i="8"/>
  <c r="F256" i="2" s="1"/>
  <c r="I783" i="8"/>
  <c r="G256" i="2" s="1"/>
  <c r="E783" i="8"/>
  <c r="C256" i="2" s="1"/>
  <c r="F779" i="8"/>
  <c r="D255" i="2" s="1"/>
  <c r="G779" i="8"/>
  <c r="E255" i="2" s="1"/>
  <c r="H779" i="8"/>
  <c r="F255" i="2" s="1"/>
  <c r="I779" i="8"/>
  <c r="G255" i="2" s="1"/>
  <c r="E779" i="8"/>
  <c r="F774" i="8"/>
  <c r="G774" i="8"/>
  <c r="H774" i="8"/>
  <c r="I774" i="8"/>
  <c r="D253" i="2"/>
  <c r="E253" i="2"/>
  <c r="F253" i="2"/>
  <c r="G253" i="2"/>
  <c r="C253" i="2"/>
  <c r="F758" i="8"/>
  <c r="D249" i="2" s="1"/>
  <c r="G758" i="8"/>
  <c r="E249" i="2" s="1"/>
  <c r="H758" i="8"/>
  <c r="F249" i="2" s="1"/>
  <c r="I758" i="8"/>
  <c r="G249" i="2" s="1"/>
  <c r="E758" i="8"/>
  <c r="C249" i="2" s="1"/>
  <c r="F754" i="8"/>
  <c r="D248" i="2" s="1"/>
  <c r="G754" i="8"/>
  <c r="E248" i="2" s="1"/>
  <c r="H754" i="8"/>
  <c r="F248" i="2" s="1"/>
  <c r="I754" i="8"/>
  <c r="G248" i="2" s="1"/>
  <c r="E754" i="8"/>
  <c r="C248" i="2" s="1"/>
  <c r="F746" i="8"/>
  <c r="D246" i="2" s="1"/>
  <c r="G746" i="8"/>
  <c r="E246" i="2" s="1"/>
  <c r="H746" i="8"/>
  <c r="F246" i="2" s="1"/>
  <c r="I746" i="8"/>
  <c r="G246" i="2" s="1"/>
  <c r="E746" i="8"/>
  <c r="C246" i="2" s="1"/>
  <c r="D245" i="2"/>
  <c r="E245" i="2"/>
  <c r="F245" i="2"/>
  <c r="G245" i="2"/>
  <c r="C245" i="2"/>
  <c r="D244" i="2"/>
  <c r="E244" i="2"/>
  <c r="F244" i="2"/>
  <c r="G244" i="2"/>
  <c r="C244" i="2"/>
  <c r="F722" i="8"/>
  <c r="G722" i="8"/>
  <c r="I722" i="8"/>
  <c r="I725" i="8" s="1"/>
  <c r="I728" i="8" s="1"/>
  <c r="E722" i="8"/>
  <c r="F714" i="8"/>
  <c r="D239" i="2" s="1"/>
  <c r="G714" i="8"/>
  <c r="E239" i="2" s="1"/>
  <c r="H714" i="8"/>
  <c r="F239" i="2" s="1"/>
  <c r="I714" i="8"/>
  <c r="G239" i="2" s="1"/>
  <c r="E714" i="8"/>
  <c r="C239" i="2" s="1"/>
  <c r="D238" i="2"/>
  <c r="E238" i="2"/>
  <c r="F238" i="2"/>
  <c r="G238" i="2"/>
  <c r="C238" i="2"/>
  <c r="D235" i="2"/>
  <c r="E235" i="2"/>
  <c r="F235" i="2"/>
  <c r="G235" i="2"/>
  <c r="C235" i="2"/>
  <c r="F662" i="8"/>
  <c r="G662" i="8"/>
  <c r="H662" i="8"/>
  <c r="I662" i="8"/>
  <c r="E662" i="8"/>
  <c r="F654" i="8"/>
  <c r="D229" i="2" s="1"/>
  <c r="G654" i="8"/>
  <c r="E229" i="2" s="1"/>
  <c r="H654" i="8"/>
  <c r="F229" i="2" s="1"/>
  <c r="I654" i="8"/>
  <c r="G229" i="2" s="1"/>
  <c r="E654" i="8"/>
  <c r="C229" i="2" s="1"/>
  <c r="F650" i="8"/>
  <c r="D228" i="2" s="1"/>
  <c r="G650" i="8"/>
  <c r="E228" i="2" s="1"/>
  <c r="H650" i="8"/>
  <c r="F228" i="2" s="1"/>
  <c r="I650" i="8"/>
  <c r="G228" i="2" s="1"/>
  <c r="E650" i="8"/>
  <c r="C228" i="2" s="1"/>
  <c r="D226" i="2"/>
  <c r="E226" i="2"/>
  <c r="F226" i="2"/>
  <c r="G226" i="2"/>
  <c r="C226" i="2"/>
  <c r="D225" i="2"/>
  <c r="E225" i="2"/>
  <c r="F225" i="2"/>
  <c r="G225" i="2"/>
  <c r="C225" i="2"/>
  <c r="F615" i="8"/>
  <c r="G615" i="8"/>
  <c r="H615" i="8"/>
  <c r="I615" i="8"/>
  <c r="E615" i="8"/>
  <c r="F603" i="8"/>
  <c r="D218" i="2" s="1"/>
  <c r="G603" i="8"/>
  <c r="E218" i="2" s="1"/>
  <c r="H603" i="8"/>
  <c r="F218" i="2" s="1"/>
  <c r="I603" i="8"/>
  <c r="G218" i="2" s="1"/>
  <c r="E603" i="8"/>
  <c r="C218" i="2" s="1"/>
  <c r="F607" i="8"/>
  <c r="D219" i="2" s="1"/>
  <c r="G607" i="8"/>
  <c r="E219" i="2" s="1"/>
  <c r="H607" i="8"/>
  <c r="F219" i="2" s="1"/>
  <c r="I607" i="8"/>
  <c r="G219" i="2" s="1"/>
  <c r="E607" i="8"/>
  <c r="C219" i="2" s="1"/>
  <c r="D216" i="2"/>
  <c r="E216" i="2"/>
  <c r="F216" i="2"/>
  <c r="G216" i="2"/>
  <c r="C216" i="2"/>
  <c r="D215" i="2"/>
  <c r="E215" i="2"/>
  <c r="F215" i="2"/>
  <c r="C215" i="2"/>
  <c r="F564" i="8"/>
  <c r="D213" i="2" s="1"/>
  <c r="G564" i="8"/>
  <c r="E213" i="2" s="1"/>
  <c r="H564" i="8"/>
  <c r="F213" i="2" s="1"/>
  <c r="I564" i="8"/>
  <c r="G213" i="2" s="1"/>
  <c r="E564" i="8"/>
  <c r="C213" i="2" s="1"/>
  <c r="F550" i="8"/>
  <c r="G550" i="8"/>
  <c r="H550" i="8"/>
  <c r="H554" i="8" s="1"/>
  <c r="H558" i="8" s="1"/>
  <c r="I550" i="8"/>
  <c r="E560" i="8"/>
  <c r="F541" i="8"/>
  <c r="G541" i="8"/>
  <c r="H541" i="8"/>
  <c r="I541" i="8"/>
  <c r="G208" i="2" s="1"/>
  <c r="C208" i="2"/>
  <c r="D205" i="2"/>
  <c r="E205" i="2"/>
  <c r="F205" i="2"/>
  <c r="G205" i="2"/>
  <c r="C205" i="2"/>
  <c r="D202" i="2"/>
  <c r="E202" i="2"/>
  <c r="F202" i="2"/>
  <c r="G202" i="2"/>
  <c r="C202" i="2"/>
  <c r="I492" i="8"/>
  <c r="I497" i="8" s="1"/>
  <c r="E294" i="8" l="1"/>
  <c r="C163" i="2"/>
  <c r="C165" i="2" s="1"/>
  <c r="H294" i="8"/>
  <c r="F163" i="2"/>
  <c r="F165" i="2" s="1"/>
  <c r="I499" i="8"/>
  <c r="I543" i="8" s="1"/>
  <c r="E15" i="14"/>
  <c r="G127" i="13"/>
  <c r="C255" i="2"/>
  <c r="E785" i="8"/>
  <c r="E609" i="8"/>
  <c r="G838" i="8"/>
  <c r="G874" i="8" s="1"/>
  <c r="D208" i="2"/>
  <c r="F543" i="8"/>
  <c r="F208" i="2"/>
  <c r="H543" i="8"/>
  <c r="E208" i="2"/>
  <c r="G543" i="8"/>
  <c r="G730" i="8"/>
  <c r="G760" i="8" s="1"/>
  <c r="F838" i="8"/>
  <c r="F874" i="8" s="1"/>
  <c r="H666" i="8"/>
  <c r="H670" i="8" s="1"/>
  <c r="G560" i="8"/>
  <c r="G609" i="8" s="1"/>
  <c r="G625" i="8"/>
  <c r="G656" i="8" s="1"/>
  <c r="F730" i="8"/>
  <c r="F760" i="8" s="1"/>
  <c r="E730" i="8"/>
  <c r="E625" i="8"/>
  <c r="E656" i="8" s="1"/>
  <c r="H730" i="8"/>
  <c r="H760" i="8" s="1"/>
  <c r="C254" i="2"/>
  <c r="G254" i="2"/>
  <c r="G257" i="2" s="1"/>
  <c r="I785" i="8"/>
  <c r="F254" i="2"/>
  <c r="F257" i="2" s="1"/>
  <c r="H785" i="8"/>
  <c r="F625" i="8"/>
  <c r="F656" i="8" s="1"/>
  <c r="E254" i="2"/>
  <c r="E257" i="2" s="1"/>
  <c r="G785" i="8"/>
  <c r="F554" i="8"/>
  <c r="F558" i="8" s="1"/>
  <c r="D254" i="2"/>
  <c r="D257" i="2" s="1"/>
  <c r="F785" i="8"/>
  <c r="E838" i="8"/>
  <c r="E874" i="8" s="1"/>
  <c r="I730" i="8"/>
  <c r="I760" i="8" s="1"/>
  <c r="I287" i="8"/>
  <c r="I294" i="8" s="1"/>
  <c r="H215" i="8"/>
  <c r="H217" i="8" s="1"/>
  <c r="H274" i="8" s="1"/>
  <c r="H619" i="8"/>
  <c r="H623" i="8" s="1"/>
  <c r="H794" i="8"/>
  <c r="I619" i="8"/>
  <c r="I623" i="8" s="1"/>
  <c r="H832" i="8"/>
  <c r="H836" i="8" s="1"/>
  <c r="H560" i="8"/>
  <c r="H609" i="8" s="1"/>
  <c r="I554" i="8"/>
  <c r="I558" i="8" s="1"/>
  <c r="D152" i="2"/>
  <c r="H49" i="13"/>
  <c r="H50" i="13" s="1"/>
  <c r="F15" i="14" s="1"/>
  <c r="C152" i="2"/>
  <c r="I49" i="13"/>
  <c r="I50" i="13" s="1"/>
  <c r="G15" i="14" s="1"/>
  <c r="E152" i="2"/>
  <c r="E799" i="8"/>
  <c r="F799" i="8"/>
  <c r="G799" i="8"/>
  <c r="G672" i="8"/>
  <c r="G716" i="8" s="1"/>
  <c r="I672" i="8"/>
  <c r="I716" i="8" s="1"/>
  <c r="E672" i="8"/>
  <c r="E716" i="8" s="1"/>
  <c r="F672" i="8"/>
  <c r="F716" i="8" s="1"/>
  <c r="E201" i="2"/>
  <c r="C212" i="2"/>
  <c r="C201" i="2"/>
  <c r="H672" i="8" l="1"/>
  <c r="H625" i="8"/>
  <c r="H797" i="8"/>
  <c r="H799" i="8" s="1"/>
  <c r="F560" i="8"/>
  <c r="C257" i="2"/>
  <c r="C243" i="2"/>
  <c r="C250" i="2" s="1"/>
  <c r="E760" i="8"/>
  <c r="E268" i="2"/>
  <c r="E275" i="2" s="1"/>
  <c r="D268" i="2"/>
  <c r="D275" i="2" s="1"/>
  <c r="E212" i="2"/>
  <c r="D223" i="2"/>
  <c r="C268" i="2"/>
  <c r="C275" i="2" s="1"/>
  <c r="F152" i="2"/>
  <c r="F243" i="2"/>
  <c r="F250" i="2" s="1"/>
  <c r="C233" i="2"/>
  <c r="G163" i="2"/>
  <c r="G165" i="2" s="1"/>
  <c r="F212" i="2"/>
  <c r="E260" i="2"/>
  <c r="E265" i="2" s="1"/>
  <c r="G821" i="8"/>
  <c r="H838" i="8"/>
  <c r="H874" i="8" s="1"/>
  <c r="I560" i="8"/>
  <c r="I609" i="8" s="1"/>
  <c r="D260" i="2"/>
  <c r="D265" i="2" s="1"/>
  <c r="F821" i="8"/>
  <c r="C260" i="2"/>
  <c r="C265" i="2" s="1"/>
  <c r="E821" i="8"/>
  <c r="I625" i="8"/>
  <c r="I656" i="8" s="1"/>
  <c r="D233" i="2"/>
  <c r="C223" i="2"/>
  <c r="E233" i="2"/>
  <c r="E243" i="2"/>
  <c r="E250" i="2" s="1"/>
  <c r="E223" i="2"/>
  <c r="G243" i="2"/>
  <c r="G250" i="2" s="1"/>
  <c r="D243" i="2"/>
  <c r="D250" i="2" s="1"/>
  <c r="D201" i="2"/>
  <c r="G233" i="2"/>
  <c r="H656" i="8" l="1"/>
  <c r="F223" i="2"/>
  <c r="F609" i="8"/>
  <c r="D212" i="2"/>
  <c r="H821" i="8"/>
  <c r="F260" i="2"/>
  <c r="F265" i="2" s="1"/>
  <c r="H716" i="8"/>
  <c r="F233" i="2"/>
  <c r="G223" i="2"/>
  <c r="F268" i="2"/>
  <c r="F275" i="2" s="1"/>
  <c r="G212" i="2"/>
  <c r="F201" i="2"/>
  <c r="G201" i="2"/>
  <c r="D197" i="2"/>
  <c r="E197" i="2"/>
  <c r="F197" i="2"/>
  <c r="G197" i="2"/>
  <c r="C197" i="2"/>
  <c r="D196" i="2"/>
  <c r="E196" i="2"/>
  <c r="F196" i="2"/>
  <c r="G196" i="2"/>
  <c r="C196" i="2"/>
  <c r="H437" i="8"/>
  <c r="H441" i="8" s="1"/>
  <c r="I443" i="8"/>
  <c r="D183" i="2"/>
  <c r="E183" i="2"/>
  <c r="F183" i="2"/>
  <c r="G183" i="2"/>
  <c r="C183" i="2"/>
  <c r="D181" i="2"/>
  <c r="E181" i="2"/>
  <c r="F181" i="2"/>
  <c r="G181" i="2"/>
  <c r="C181" i="2"/>
  <c r="H373" i="8"/>
  <c r="H378" i="8" s="1"/>
  <c r="I374" i="8"/>
  <c r="H443" i="8" l="1"/>
  <c r="F190" i="2" s="1"/>
  <c r="H380" i="8"/>
  <c r="H426" i="8" s="1"/>
  <c r="I373" i="8"/>
  <c r="I378" i="8" s="1"/>
  <c r="G190" i="2"/>
  <c r="C190" i="2"/>
  <c r="D190" i="2"/>
  <c r="E190" i="2"/>
  <c r="E179" i="2"/>
  <c r="D179" i="2"/>
  <c r="D175" i="2"/>
  <c r="E175" i="2"/>
  <c r="F175" i="2"/>
  <c r="G175" i="2"/>
  <c r="D171" i="2"/>
  <c r="E171" i="2"/>
  <c r="F171" i="2"/>
  <c r="G171" i="2"/>
  <c r="C171" i="2"/>
  <c r="D170" i="2"/>
  <c r="E170" i="2"/>
  <c r="F170" i="2"/>
  <c r="G170" i="2"/>
  <c r="D156" i="2"/>
  <c r="E156" i="2"/>
  <c r="F156" i="2"/>
  <c r="G156" i="2"/>
  <c r="C156" i="2"/>
  <c r="D155" i="2"/>
  <c r="E155" i="2"/>
  <c r="F155" i="2"/>
  <c r="G155" i="2"/>
  <c r="C155" i="2"/>
  <c r="D154" i="2"/>
  <c r="E154" i="2"/>
  <c r="G154" i="2"/>
  <c r="C154" i="2"/>
  <c r="I380" i="8" l="1"/>
  <c r="I426" i="8" s="1"/>
  <c r="C179" i="2"/>
  <c r="D148" i="2"/>
  <c r="D149" i="2" s="1"/>
  <c r="E148" i="2"/>
  <c r="E149" i="2" s="1"/>
  <c r="F148" i="2"/>
  <c r="F149" i="2" s="1"/>
  <c r="B149" i="2"/>
  <c r="D143" i="2"/>
  <c r="E143" i="2"/>
  <c r="F143" i="2"/>
  <c r="G143" i="2"/>
  <c r="D142" i="2"/>
  <c r="E142" i="2"/>
  <c r="F142" i="2"/>
  <c r="G142" i="2"/>
  <c r="C142" i="2"/>
  <c r="D141" i="2"/>
  <c r="E141" i="2"/>
  <c r="F141" i="2"/>
  <c r="G141" i="2"/>
  <c r="C141" i="2"/>
  <c r="B138" i="2"/>
  <c r="D137" i="2"/>
  <c r="E137" i="2"/>
  <c r="F137" i="2"/>
  <c r="G137" i="2"/>
  <c r="G138" i="2" s="1"/>
  <c r="C137" i="2"/>
  <c r="C138" i="2" s="1"/>
  <c r="G145" i="2" l="1"/>
  <c r="D145" i="2"/>
  <c r="E145" i="2"/>
  <c r="F145" i="2"/>
  <c r="G148" i="2"/>
  <c r="G149" i="2" s="1"/>
  <c r="G179" i="2"/>
  <c r="F179" i="2"/>
  <c r="B93" i="2" l="1"/>
  <c r="B75" i="2"/>
  <c r="B70" i="2"/>
  <c r="B22" i="2"/>
  <c r="B26" i="2"/>
  <c r="B113" i="2"/>
  <c r="D105" i="2"/>
  <c r="E105" i="2"/>
  <c r="F105" i="2"/>
  <c r="C105" i="2"/>
  <c r="B99" i="2"/>
  <c r="B82" i="2"/>
  <c r="E75" i="2"/>
  <c r="B40" i="2"/>
  <c r="D26" i="2"/>
  <c r="E26" i="2"/>
  <c r="F26" i="2"/>
  <c r="C26" i="2"/>
  <c r="B125" i="2" l="1"/>
  <c r="D75" i="2"/>
  <c r="F75" i="2"/>
  <c r="C75" i="2"/>
  <c r="D99" i="2"/>
  <c r="F121" i="2"/>
  <c r="C40" i="2"/>
  <c r="D40" i="2"/>
  <c r="C70" i="2"/>
  <c r="D70" i="2"/>
  <c r="E82" i="2"/>
  <c r="F113" i="2"/>
  <c r="C113" i="2"/>
  <c r="E121" i="2"/>
  <c r="C82" i="2"/>
  <c r="D82" i="2"/>
  <c r="E99" i="2"/>
  <c r="C121" i="2"/>
  <c r="D121" i="2"/>
  <c r="D22" i="2"/>
  <c r="F40" i="2"/>
  <c r="C22" i="2"/>
  <c r="F82" i="2"/>
  <c r="D93" i="2"/>
  <c r="C99" i="2"/>
  <c r="E113" i="2"/>
  <c r="F22" i="2"/>
  <c r="E40" i="2"/>
  <c r="E70" i="2"/>
  <c r="F99" i="2"/>
  <c r="D113" i="2"/>
  <c r="F93" i="2"/>
  <c r="C93" i="2"/>
  <c r="F70" i="2"/>
  <c r="E93" i="2"/>
  <c r="C125" i="2" l="1"/>
  <c r="F125" i="2"/>
  <c r="E125" i="2"/>
  <c r="D125" i="2"/>
  <c r="B14" i="24"/>
  <c r="E21" i="24" l="1"/>
  <c r="E24" i="24" s="1"/>
  <c r="B21" i="24"/>
  <c r="B24" i="24" s="1"/>
  <c r="B31" i="24" s="1"/>
  <c r="F21" i="24"/>
  <c r="F24" i="24" s="1"/>
  <c r="D21" i="24"/>
  <c r="D24" i="24" s="1"/>
  <c r="D31" i="24" s="1"/>
  <c r="F30" i="24" l="1"/>
  <c r="C30" i="24"/>
  <c r="C31" i="24" s="1"/>
  <c r="E30" i="24"/>
  <c r="F31" i="24"/>
  <c r="E31" i="24"/>
  <c r="I37" i="23"/>
  <c r="I38" i="23" s="1"/>
  <c r="H37" i="23"/>
  <c r="G37" i="23"/>
  <c r="G38" i="23" s="1"/>
  <c r="E37" i="23"/>
  <c r="E42" i="23"/>
  <c r="C14" i="22" s="1"/>
  <c r="G16" i="22"/>
  <c r="F16" i="22"/>
  <c r="E16" i="22"/>
  <c r="C16" i="22"/>
  <c r="E30" i="23"/>
  <c r="B30" i="22"/>
  <c r="F30" i="22"/>
  <c r="E30" i="22"/>
  <c r="C30" i="22"/>
  <c r="G13" i="22" l="1"/>
  <c r="I82" i="23"/>
  <c r="E13" i="22"/>
  <c r="G82" i="23"/>
  <c r="G30" i="24"/>
  <c r="G31" i="24" s="1"/>
  <c r="H38" i="23"/>
  <c r="E38" i="23"/>
  <c r="I20" i="23"/>
  <c r="C9" i="22"/>
  <c r="C48" i="22" s="1"/>
  <c r="E20" i="23"/>
  <c r="F48" i="22"/>
  <c r="H20" i="23"/>
  <c r="B24" i="22"/>
  <c r="B32" i="22" s="1"/>
  <c r="B34" i="22" s="1"/>
  <c r="B37" i="22" s="1"/>
  <c r="E36" i="21"/>
  <c r="I32" i="21"/>
  <c r="H32" i="21"/>
  <c r="G32" i="21"/>
  <c r="G38" i="21" s="1"/>
  <c r="E32" i="21"/>
  <c r="G27" i="20"/>
  <c r="F27" i="20"/>
  <c r="E27" i="20"/>
  <c r="C27" i="20"/>
  <c r="B27" i="20"/>
  <c r="B29" i="20" s="1"/>
  <c r="B32" i="20" s="1"/>
  <c r="E31" i="20" l="1"/>
  <c r="C31" i="20"/>
  <c r="F31" i="20"/>
  <c r="E15" i="20"/>
  <c r="E21" i="20" s="1"/>
  <c r="E23" i="20" s="1"/>
  <c r="E29" i="20" s="1"/>
  <c r="G74" i="21"/>
  <c r="C13" i="22"/>
  <c r="E82" i="23"/>
  <c r="F13" i="22"/>
  <c r="H82" i="23"/>
  <c r="B50" i="22"/>
  <c r="B52" i="22" s="1"/>
  <c r="F36" i="22"/>
  <c r="C36" i="22"/>
  <c r="E36" i="22"/>
  <c r="E38" i="21"/>
  <c r="G48" i="22"/>
  <c r="I35" i="21"/>
  <c r="I36" i="21" s="1"/>
  <c r="I38" i="21" s="1"/>
  <c r="H35" i="21"/>
  <c r="H36" i="21" s="1"/>
  <c r="H38" i="21" s="1"/>
  <c r="F15" i="20" l="1"/>
  <c r="F21" i="20" s="1"/>
  <c r="H74" i="21"/>
  <c r="G15" i="20"/>
  <c r="G21" i="20" s="1"/>
  <c r="G23" i="20" s="1"/>
  <c r="G29" i="20" s="1"/>
  <c r="I74" i="21"/>
  <c r="C15" i="20"/>
  <c r="C21" i="20" s="1"/>
  <c r="C23" i="20" s="1"/>
  <c r="C29" i="20" s="1"/>
  <c r="E74" i="21"/>
  <c r="F23" i="20"/>
  <c r="F29" i="20" s="1"/>
  <c r="G30" i="22"/>
  <c r="C32" i="20" l="1"/>
  <c r="F32" i="20" l="1"/>
  <c r="E32" i="20"/>
  <c r="G31" i="20" l="1"/>
  <c r="G32" i="20" s="1"/>
  <c r="G215" i="2" l="1"/>
  <c r="G152" i="2" l="1"/>
  <c r="E33" i="14" l="1"/>
  <c r="E35" i="14" s="1"/>
  <c r="G33" i="14"/>
  <c r="B11" i="14"/>
  <c r="B283" i="2"/>
  <c r="G37" i="12"/>
  <c r="F37" i="12"/>
  <c r="E37" i="12"/>
  <c r="C37" i="12"/>
  <c r="B37" i="12"/>
  <c r="B39" i="12" s="1"/>
  <c r="G25" i="12"/>
  <c r="F25" i="12"/>
  <c r="E25" i="12"/>
  <c r="C25" i="12"/>
  <c r="G40" i="11"/>
  <c r="H40" i="11"/>
  <c r="I40" i="11"/>
  <c r="G17" i="12" s="1"/>
  <c r="E40" i="11"/>
  <c r="G14" i="11"/>
  <c r="E9" i="12" s="1"/>
  <c r="I14" i="11"/>
  <c r="G9" i="12" s="1"/>
  <c r="H14" i="11"/>
  <c r="F9" i="12" s="1"/>
  <c r="E14" i="11"/>
  <c r="C9" i="12" s="1"/>
  <c r="G10" i="11"/>
  <c r="E8" i="12" s="1"/>
  <c r="I10" i="11"/>
  <c r="G8" i="12" s="1"/>
  <c r="H10" i="11"/>
  <c r="F8" i="12" s="1"/>
  <c r="E10" i="11"/>
  <c r="C8" i="12" s="1"/>
  <c r="F301" i="2"/>
  <c r="E301" i="2"/>
  <c r="C301" i="2"/>
  <c r="C303" i="2" s="1"/>
  <c r="D37" i="10"/>
  <c r="D39" i="10" s="1"/>
  <c r="B37" i="10"/>
  <c r="G10" i="9"/>
  <c r="G12" i="9" s="1"/>
  <c r="H10" i="9"/>
  <c r="H12" i="9" s="1"/>
  <c r="I10" i="9"/>
  <c r="I12" i="9" s="1"/>
  <c r="E10" i="9"/>
  <c r="E12" i="9" s="1"/>
  <c r="C17" i="12" l="1"/>
  <c r="E42" i="11"/>
  <c r="F17" i="12"/>
  <c r="H42" i="11"/>
  <c r="E17" i="12"/>
  <c r="E18" i="12" s="1"/>
  <c r="G42" i="11"/>
  <c r="I42" i="11"/>
  <c r="C10" i="12"/>
  <c r="E10" i="12"/>
  <c r="F18" i="12"/>
  <c r="G10" i="12"/>
  <c r="G18" i="12"/>
  <c r="C18" i="12"/>
  <c r="F10" i="12"/>
  <c r="B18" i="10"/>
  <c r="B26" i="10" s="1"/>
  <c r="B29" i="10" s="1"/>
  <c r="B28" i="14"/>
  <c r="B56" i="14"/>
  <c r="I16" i="11"/>
  <c r="G16" i="11"/>
  <c r="E16" i="11"/>
  <c r="B35" i="14"/>
  <c r="G35" i="14"/>
  <c r="H16" i="11"/>
  <c r="F35" i="14"/>
  <c r="C35" i="14"/>
  <c r="E20" i="12" l="1"/>
  <c r="E27" i="12" s="1"/>
  <c r="C20" i="12"/>
  <c r="C27" i="12" s="1"/>
  <c r="G20" i="12"/>
  <c r="G27" i="12" s="1"/>
  <c r="F20" i="12"/>
  <c r="F27" i="12" s="1"/>
  <c r="B39" i="10"/>
  <c r="F28" i="10"/>
  <c r="C28" i="10"/>
  <c r="C29" i="10" s="1"/>
  <c r="C39" i="10" s="1"/>
  <c r="E28" i="10"/>
  <c r="E29" i="10" s="1"/>
  <c r="B37" i="14"/>
  <c r="E37" i="10"/>
  <c r="E39" i="10" l="1"/>
  <c r="B39" i="14"/>
  <c r="B42" i="14" s="1"/>
  <c r="E30" i="12"/>
  <c r="E39" i="12" s="1"/>
  <c r="F30" i="12"/>
  <c r="C30" i="12"/>
  <c r="C39" i="12" s="1"/>
  <c r="F37" i="10"/>
  <c r="C175" i="2"/>
  <c r="C174" i="2"/>
  <c r="E174" i="2"/>
  <c r="F174" i="2"/>
  <c r="G174" i="2"/>
  <c r="C172" i="2"/>
  <c r="E172" i="2"/>
  <c r="F172" i="2"/>
  <c r="G172" i="2"/>
  <c r="C148" i="2"/>
  <c r="C149" i="2" s="1"/>
  <c r="E191" i="8"/>
  <c r="E193" i="8" s="1"/>
  <c r="D136" i="2"/>
  <c r="D138" i="2" s="1"/>
  <c r="E136" i="2"/>
  <c r="E138" i="2" s="1"/>
  <c r="F41" i="14" l="1"/>
  <c r="E41" i="14"/>
  <c r="C41" i="14"/>
  <c r="B58" i="14"/>
  <c r="B60" i="14" s="1"/>
  <c r="G29" i="12"/>
  <c r="G30" i="12" s="1"/>
  <c r="G39" i="12" s="1"/>
  <c r="F39" i="12"/>
  <c r="C143" i="2"/>
  <c r="C145" i="2" s="1"/>
  <c r="F136" i="2"/>
  <c r="F138" i="2" s="1"/>
  <c r="C56" i="14"/>
  <c r="E323" i="2" l="1"/>
  <c r="F29" i="10" l="1"/>
  <c r="F56" i="14"/>
  <c r="E56" i="14"/>
  <c r="F39" i="10" l="1"/>
  <c r="G28" i="10"/>
  <c r="G29" i="10" s="1"/>
  <c r="G39" i="10" s="1"/>
  <c r="B303" i="2" l="1"/>
  <c r="B306" i="2" s="1"/>
  <c r="B323" i="2"/>
  <c r="E305" i="2" l="1"/>
  <c r="C305" i="2"/>
  <c r="C306" i="2" s="1"/>
  <c r="C325" i="2" s="1"/>
  <c r="C327" i="2" s="1"/>
  <c r="F305" i="2"/>
  <c r="B325" i="2"/>
  <c r="B327" i="2" s="1"/>
  <c r="G20" i="23" l="1"/>
  <c r="C153" i="2" l="1"/>
  <c r="C160" i="2" s="1"/>
  <c r="G153" i="2"/>
  <c r="G160" i="2" s="1"/>
  <c r="E153" i="2"/>
  <c r="E160" i="2" s="1"/>
  <c r="F153" i="2"/>
  <c r="F160" i="2" s="1"/>
  <c r="D153" i="2"/>
  <c r="D160" i="2" s="1"/>
  <c r="C168" i="2"/>
  <c r="I305" i="8" l="1"/>
  <c r="I311" i="8" s="1"/>
  <c r="E168" i="2"/>
  <c r="H306" i="8"/>
  <c r="D168" i="2"/>
  <c r="H305" i="8"/>
  <c r="H311" i="8" s="1"/>
  <c r="I313" i="8" l="1"/>
  <c r="H313" i="8"/>
  <c r="H362" i="8" s="1"/>
  <c r="C169" i="2"/>
  <c r="C176" i="2" s="1"/>
  <c r="E169" i="2"/>
  <c r="E176" i="2" s="1"/>
  <c r="D169" i="2"/>
  <c r="D176" i="2" s="1"/>
  <c r="F169" i="2"/>
  <c r="G169" i="2"/>
  <c r="I362" i="8" l="1"/>
  <c r="G168" i="2"/>
  <c r="G176" i="2" s="1"/>
  <c r="F168" i="2"/>
  <c r="F176" i="2" s="1"/>
  <c r="C180" i="2"/>
  <c r="G180" i="2"/>
  <c r="E180" i="2"/>
  <c r="F180" i="2"/>
  <c r="D180" i="2"/>
  <c r="C182" i="2"/>
  <c r="E426" i="8"/>
  <c r="E182" i="2"/>
  <c r="D182" i="2"/>
  <c r="G182" i="2"/>
  <c r="F182" i="2"/>
  <c r="C187" i="2" l="1"/>
  <c r="D187" i="2"/>
  <c r="F187" i="2"/>
  <c r="E187" i="2"/>
  <c r="G187" i="2"/>
  <c r="C191" i="2"/>
  <c r="E191" i="2"/>
  <c r="D191" i="2"/>
  <c r="G191" i="2"/>
  <c r="F191" i="2"/>
  <c r="C192" i="2"/>
  <c r="E192" i="2"/>
  <c r="G192" i="2"/>
  <c r="F192" i="2"/>
  <c r="D192" i="2"/>
  <c r="E481" i="8"/>
  <c r="E886" i="8" s="1"/>
  <c r="C193" i="2"/>
  <c r="H481" i="8"/>
  <c r="H886" i="8" s="1"/>
  <c r="F481" i="8"/>
  <c r="F886" i="8" s="1"/>
  <c r="G193" i="2"/>
  <c r="G886" i="8"/>
  <c r="F193" i="2"/>
  <c r="E193" i="2"/>
  <c r="D193" i="2"/>
  <c r="I481" i="8"/>
  <c r="I886" i="8" s="1"/>
  <c r="C198" i="2" l="1"/>
  <c r="D198" i="2"/>
  <c r="E198" i="2"/>
  <c r="F198" i="2"/>
  <c r="G198" i="2"/>
  <c r="C203" i="2"/>
  <c r="E203" i="2"/>
  <c r="G203" i="2"/>
  <c r="F203" i="2"/>
  <c r="D203" i="2"/>
  <c r="C204" i="2"/>
  <c r="E204" i="2"/>
  <c r="G204" i="2"/>
  <c r="D204" i="2"/>
  <c r="F204" i="2"/>
  <c r="E209" i="2" l="1"/>
  <c r="G209" i="2"/>
  <c r="C209" i="2"/>
  <c r="D209" i="2"/>
  <c r="F209" i="2"/>
  <c r="F320" i="2" s="1"/>
  <c r="F323" i="2" s="1"/>
  <c r="C214" i="2"/>
  <c r="C220" i="2" s="1"/>
  <c r="E214" i="2"/>
  <c r="E220" i="2" s="1"/>
  <c r="D214" i="2"/>
  <c r="D220" i="2" s="1"/>
  <c r="G214" i="2"/>
  <c r="G220" i="2" s="1"/>
  <c r="F214" i="2"/>
  <c r="F220" i="2" s="1"/>
  <c r="C224" i="2"/>
  <c r="C230" i="2" s="1"/>
  <c r="E224" i="2"/>
  <c r="E230" i="2" s="1"/>
  <c r="F224" i="2"/>
  <c r="F230" i="2" s="1"/>
  <c r="G224" i="2"/>
  <c r="G230" i="2" s="1"/>
  <c r="D224" i="2"/>
  <c r="D230" i="2" s="1"/>
  <c r="C234" i="2"/>
  <c r="C240" i="2" s="1"/>
  <c r="D234" i="2"/>
  <c r="D240" i="2" s="1"/>
  <c r="G234" i="2"/>
  <c r="G240" i="2" s="1"/>
  <c r="F234" i="2"/>
  <c r="F240" i="2" s="1"/>
  <c r="E234" i="2"/>
  <c r="E240" i="2" s="1"/>
  <c r="D283" i="2" l="1"/>
  <c r="D313" i="2" s="1"/>
  <c r="D323" i="2" s="1"/>
  <c r="F283" i="2"/>
  <c r="F286" i="2" s="1"/>
  <c r="F303" i="2" s="1"/>
  <c r="F306" i="2" s="1"/>
  <c r="G305" i="2" s="1"/>
  <c r="C283" i="2"/>
  <c r="E283" i="2"/>
  <c r="E286" i="2" s="1"/>
  <c r="E303" i="2" s="1"/>
  <c r="E306" i="2" s="1"/>
  <c r="E325" i="2" s="1"/>
  <c r="E327" i="2" s="1"/>
  <c r="G283" i="2"/>
  <c r="G286" i="2" s="1"/>
  <c r="G303" i="2" s="1"/>
  <c r="D286" i="2" l="1"/>
  <c r="D303" i="2" s="1"/>
  <c r="D306" i="2" s="1"/>
  <c r="F325" i="2"/>
  <c r="F327" i="2" s="1"/>
  <c r="G306" i="2"/>
  <c r="G325" i="2" s="1"/>
  <c r="G327" i="2" s="1"/>
  <c r="C16" i="14"/>
  <c r="C25" i="14" s="1"/>
  <c r="C28" i="14" s="1"/>
  <c r="C37" i="14" s="1"/>
  <c r="C39" i="14" s="1"/>
  <c r="C42" i="14" s="1"/>
  <c r="C58" i="14" s="1"/>
  <c r="C60" i="14" s="1"/>
  <c r="E16" i="14"/>
  <c r="D16" i="14"/>
  <c r="C18" i="14"/>
  <c r="D18" i="14"/>
  <c r="C20" i="14"/>
  <c r="E127" i="13"/>
  <c r="G25" i="14"/>
  <c r="G28" i="14" s="1"/>
  <c r="G37" i="14" s="1"/>
  <c r="G39" i="14" s="1"/>
  <c r="D20" i="14"/>
  <c r="D25" i="14" s="1"/>
  <c r="D28" i="14" s="1"/>
  <c r="D37" i="14" s="1"/>
  <c r="D39" i="14" s="1"/>
  <c r="D42" i="14" s="1"/>
  <c r="F127" i="13"/>
  <c r="I127" i="13"/>
  <c r="H127" i="13"/>
  <c r="F25" i="14" l="1"/>
  <c r="F28" i="14" s="1"/>
  <c r="F37" i="14" s="1"/>
  <c r="E25" i="14"/>
  <c r="E28" i="14" s="1"/>
  <c r="E37" i="14" s="1"/>
  <c r="E39" i="14" s="1"/>
  <c r="E42" i="14" s="1"/>
  <c r="E58" i="14" s="1"/>
  <c r="E60" i="14" s="1"/>
  <c r="F39" i="14" l="1"/>
  <c r="F42" i="14" s="1"/>
  <c r="C16" i="19"/>
  <c r="G16" i="19"/>
  <c r="G23" i="19" s="1"/>
  <c r="G26" i="19" s="1"/>
  <c r="G35" i="19" s="1"/>
  <c r="G37" i="19" s="1"/>
  <c r="E16" i="19"/>
  <c r="E23" i="19" s="1"/>
  <c r="E26" i="19" s="1"/>
  <c r="E35" i="19" s="1"/>
  <c r="E37" i="19" s="1"/>
  <c r="E40" i="19" s="1"/>
  <c r="E56" i="19" s="1"/>
  <c r="E58" i="19" s="1"/>
  <c r="D16" i="19"/>
  <c r="D23" i="19" s="1"/>
  <c r="D26" i="19" s="1"/>
  <c r="D35" i="19" s="1"/>
  <c r="D37" i="19" s="1"/>
  <c r="D40" i="19" s="1"/>
  <c r="D56" i="19" s="1"/>
  <c r="D58" i="19" s="1"/>
  <c r="F16" i="19"/>
  <c r="F23" i="19" s="1"/>
  <c r="F26" i="19" s="1"/>
  <c r="F35" i="19" s="1"/>
  <c r="F37" i="19" s="1"/>
  <c r="F40" i="19" s="1"/>
  <c r="G41" i="14" l="1"/>
  <c r="G42" i="14" s="1"/>
  <c r="G58" i="14" s="1"/>
  <c r="G60" i="14" s="1"/>
  <c r="F58" i="14"/>
  <c r="F60" i="14" s="1"/>
  <c r="F56" i="19"/>
  <c r="F58" i="19" s="1"/>
  <c r="G39" i="19"/>
  <c r="G40" i="19" s="1"/>
  <c r="G56" i="19" s="1"/>
  <c r="G58" i="19" s="1"/>
  <c r="C18" i="19"/>
  <c r="C23" i="19" s="1"/>
  <c r="C26" i="19" s="1"/>
  <c r="C35" i="19" s="1"/>
  <c r="C37" i="19" s="1"/>
  <c r="C40" i="19" s="1"/>
  <c r="C56" i="19" s="1"/>
  <c r="C58" i="19" s="1"/>
  <c r="C15" i="22"/>
  <c r="C22" i="22" s="1"/>
  <c r="C24" i="22" s="1"/>
  <c r="C32" i="22" s="1"/>
  <c r="C34" i="22" s="1"/>
  <c r="C37" i="22" s="1"/>
  <c r="C50" i="22" s="1"/>
  <c r="C52" i="22" s="1"/>
  <c r="G15" i="22"/>
  <c r="G22" i="22" s="1"/>
  <c r="G24" i="22" s="1"/>
  <c r="G32" i="22" s="1"/>
  <c r="G34" i="22" s="1"/>
  <c r="F15" i="22"/>
  <c r="F22" i="22" s="1"/>
  <c r="F24" i="22" s="1"/>
  <c r="F32" i="22" s="1"/>
  <c r="F34" i="22" s="1"/>
  <c r="F37" i="22" s="1"/>
  <c r="D15" i="22"/>
  <c r="D22" i="22" s="1"/>
  <c r="E15" i="22"/>
  <c r="E22" i="22" s="1"/>
  <c r="E24" i="22" s="1"/>
  <c r="E32" i="22" s="1"/>
  <c r="E34" i="22" s="1"/>
  <c r="E37" i="22" s="1"/>
  <c r="E50" i="22" s="1"/>
  <c r="E52" i="22" s="1"/>
  <c r="G36" i="22" l="1"/>
  <c r="G37" i="22" s="1"/>
  <c r="G50" i="22" s="1"/>
  <c r="G52" i="22" s="1"/>
  <c r="F50" i="22"/>
  <c r="F52" i="22" s="1"/>
</calcChain>
</file>

<file path=xl/sharedStrings.xml><?xml version="1.0" encoding="utf-8"?>
<sst xmlns="http://schemas.openxmlformats.org/spreadsheetml/2006/main" count="3294" uniqueCount="1308">
  <si>
    <t>Account Title</t>
  </si>
  <si>
    <t xml:space="preserve"> Actual </t>
  </si>
  <si>
    <t xml:space="preserve"> Budget </t>
  </si>
  <si>
    <t>INTERGOVERNMENTAL</t>
  </si>
  <si>
    <t>TOTAL REVENUES</t>
  </si>
  <si>
    <t>TOTAL EXPENDITURES</t>
  </si>
  <si>
    <t>Excess (Deficiency) of Revenues Over (Under) Expenditures</t>
  </si>
  <si>
    <t>Other Financing Sources (Uses)</t>
  </si>
  <si>
    <t>Financing Proceeds</t>
  </si>
  <si>
    <t>Operating Transfers In</t>
  </si>
  <si>
    <t>Operating Transfers Out</t>
  </si>
  <si>
    <t>Total Other Financing Sources (Uses)</t>
  </si>
  <si>
    <t>Excess (Deficiency) of Revenues and Other Sources Over (Under) Expenditures and Other Uses</t>
  </si>
  <si>
    <t xml:space="preserve"> </t>
  </si>
  <si>
    <t>Fund Balance, Beginning of Year</t>
  </si>
  <si>
    <t>Fund Balance, End of Year</t>
  </si>
  <si>
    <t>Committed To</t>
  </si>
  <si>
    <t>Assigned To</t>
  </si>
  <si>
    <t>Proposed</t>
  </si>
  <si>
    <t>Revenues:</t>
  </si>
  <si>
    <t>Expenditures:</t>
  </si>
  <si>
    <t>Utilities</t>
  </si>
  <si>
    <t>Capital Outlay</t>
  </si>
  <si>
    <t>GENERAL FUND</t>
  </si>
  <si>
    <t>TABOR</t>
  </si>
  <si>
    <t>Franchise Fees</t>
  </si>
  <si>
    <t>Overtime</t>
  </si>
  <si>
    <t>Electricity</t>
  </si>
  <si>
    <t>Telephone</t>
  </si>
  <si>
    <t>Advertising</t>
  </si>
  <si>
    <t>Personnel</t>
  </si>
  <si>
    <t>Capital Purchases &amp; Improvements</t>
  </si>
  <si>
    <t>Capital Purchases &amp; Equipment</t>
  </si>
  <si>
    <t>Lottery Proceeds - CTF</t>
  </si>
  <si>
    <t>On behalf of Water System</t>
  </si>
  <si>
    <t>Comments</t>
  </si>
  <si>
    <t>Miscellaneous</t>
  </si>
  <si>
    <t>Debt Service</t>
  </si>
  <si>
    <t>Unassigned Fund Balance %</t>
  </si>
  <si>
    <t>Sales Tax</t>
  </si>
  <si>
    <t>CAPITAL IMPROVEMENT FUND</t>
  </si>
  <si>
    <t>CITY OF ROCKY FORD</t>
  </si>
  <si>
    <t>300-10-100</t>
  </si>
  <si>
    <t>Current Levy</t>
  </si>
  <si>
    <t>Property Taxes</t>
  </si>
  <si>
    <t>300-10-101</t>
  </si>
  <si>
    <t>Specific Ownership</t>
  </si>
  <si>
    <t>300-10-102</t>
  </si>
  <si>
    <t>300-10-104</t>
  </si>
  <si>
    <t>Use Tax</t>
  </si>
  <si>
    <t>300-10-105</t>
  </si>
  <si>
    <t>Liquor Occupational Tax</t>
  </si>
  <si>
    <t>300-10-110</t>
  </si>
  <si>
    <t>Delinquent Tax &amp; Interest</t>
  </si>
  <si>
    <t>300-10-117</t>
  </si>
  <si>
    <t>Plaza Nueva In-Lieu of Taxes</t>
  </si>
  <si>
    <t>300-10-125</t>
  </si>
  <si>
    <t>McKittrick Manor In-lieu of Taxes</t>
  </si>
  <si>
    <t>300-10-130</t>
  </si>
  <si>
    <t>Motor Vehicle Special Assess</t>
  </si>
  <si>
    <t>300-10-200</t>
  </si>
  <si>
    <t>State Highway User Tax</t>
  </si>
  <si>
    <t>300-10-205</t>
  </si>
  <si>
    <t>State Cigarette Tax</t>
  </si>
  <si>
    <t>300-10-210</t>
  </si>
  <si>
    <t>Otero County Road &amp; Bridge</t>
  </si>
  <si>
    <t>Supplemental</t>
  </si>
  <si>
    <t>FRANCHISE REVENUE</t>
  </si>
  <si>
    <t>300-12-200</t>
  </si>
  <si>
    <t>LICENSE &amp; PERMITS</t>
  </si>
  <si>
    <t>Liquor License</t>
  </si>
  <si>
    <t>Liquor License Application</t>
  </si>
  <si>
    <t>Non-Cigarette Tobacco License</t>
  </si>
  <si>
    <t>Marijuana Applications</t>
  </si>
  <si>
    <t>Marijuana License Fees</t>
  </si>
  <si>
    <t>Tree Trimmers License</t>
  </si>
  <si>
    <t>Dog License</t>
  </si>
  <si>
    <t>Fireworks License</t>
  </si>
  <si>
    <t>Peddler License</t>
  </si>
  <si>
    <t>Zoning Compliance/Bldg. Fees</t>
  </si>
  <si>
    <t>Zoning Variance Fees</t>
  </si>
  <si>
    <t>300-14-100</t>
  </si>
  <si>
    <t>300-14-200</t>
  </si>
  <si>
    <t>300-14-300</t>
  </si>
  <si>
    <t>300-14-400</t>
  </si>
  <si>
    <t>300-14-500</t>
  </si>
  <si>
    <t>300-14-650</t>
  </si>
  <si>
    <t>300-14-700</t>
  </si>
  <si>
    <t>300-14-740</t>
  </si>
  <si>
    <t>300-14-930</t>
  </si>
  <si>
    <t>305-14-300</t>
  </si>
  <si>
    <t>305-14-311</t>
  </si>
  <si>
    <t>CHARGES FOR SERVICES</t>
  </si>
  <si>
    <t>AV Fair Board Reimbursements</t>
  </si>
  <si>
    <t>Police Reports</t>
  </si>
  <si>
    <t>Dispatch Services</t>
  </si>
  <si>
    <t>Mosquito Spray Revenue</t>
  </si>
  <si>
    <t>Code Enforcement Fees</t>
  </si>
  <si>
    <t>Copy Work/Notary Service</t>
  </si>
  <si>
    <t>Ambulance Fees Collected</t>
  </si>
  <si>
    <t>Ambulance Miscellaneous Income</t>
  </si>
  <si>
    <t>HCCLAIMPMT Direct to Bank</t>
  </si>
  <si>
    <t>Fire General Revenue</t>
  </si>
  <si>
    <t>Cemetery Grave Openings</t>
  </si>
  <si>
    <t>300-15-100</t>
  </si>
  <si>
    <t>300-15-140</t>
  </si>
  <si>
    <t>300-15-150</t>
  </si>
  <si>
    <t>305-15-800</t>
  </si>
  <si>
    <t>305-15-831</t>
  </si>
  <si>
    <t>305-15-890</t>
  </si>
  <si>
    <t>310-15-901</t>
  </si>
  <si>
    <t>310-15-910</t>
  </si>
  <si>
    <t>310-15-911</t>
  </si>
  <si>
    <t>310-15-915</t>
  </si>
  <si>
    <t>315-15-100</t>
  </si>
  <si>
    <t>315-15-116</t>
  </si>
  <si>
    <t>Cemetery Misc. Fees</t>
  </si>
  <si>
    <t>320-15-202</t>
  </si>
  <si>
    <t>Swimming Pool Admissions</t>
  </si>
  <si>
    <t>320-15-210</t>
  </si>
  <si>
    <t>Swimming Pool Concessions</t>
  </si>
  <si>
    <t>320-15-215</t>
  </si>
  <si>
    <t>Swimming Pool Lessons</t>
  </si>
  <si>
    <t>320-15-300</t>
  </si>
  <si>
    <t>Babcock Park Little League</t>
  </si>
  <si>
    <t>320-15-325</t>
  </si>
  <si>
    <t>Babcock Park Miscellaneous</t>
  </si>
  <si>
    <t>320-15-323</t>
  </si>
  <si>
    <t>320-15-320</t>
  </si>
  <si>
    <t>Youth Cheerleading Fees</t>
  </si>
  <si>
    <t>Youth Basketball Fees</t>
  </si>
  <si>
    <t>320-15-330</t>
  </si>
  <si>
    <t>Youth Soccer Fees</t>
  </si>
  <si>
    <t>320-15-340</t>
  </si>
  <si>
    <t>Youth Football Fees</t>
  </si>
  <si>
    <t>320-15-350</t>
  </si>
  <si>
    <t>Open Gym Fees</t>
  </si>
  <si>
    <t>320-15-400</t>
  </si>
  <si>
    <t>Volleyball Fees</t>
  </si>
  <si>
    <t>325-15-600</t>
  </si>
  <si>
    <t>Library Copies</t>
  </si>
  <si>
    <t>325-15-900</t>
  </si>
  <si>
    <t>Library Fines</t>
  </si>
  <si>
    <t>Rural Fire Protection District</t>
  </si>
  <si>
    <t>Rural Fire Protection District Pension</t>
  </si>
  <si>
    <t>Rural Fire Protection Dist. Pension</t>
  </si>
  <si>
    <t>310-16-200</t>
  </si>
  <si>
    <t>310-16-210</t>
  </si>
  <si>
    <t>FINES &amp; FORFEITURES</t>
  </si>
  <si>
    <t>Police Court Fines</t>
  </si>
  <si>
    <t>Court Costs</t>
  </si>
  <si>
    <t>Surcharge Revenue</t>
  </si>
  <si>
    <t>Otero County Fines Collected</t>
  </si>
  <si>
    <t>335-18-100</t>
  </si>
  <si>
    <t>335-18-103</t>
  </si>
  <si>
    <t>335-18-106</t>
  </si>
  <si>
    <t>335-18-200</t>
  </si>
  <si>
    <t>RENTAL INCOME</t>
  </si>
  <si>
    <t>Lease - Innovative Water</t>
  </si>
  <si>
    <t>Senior Citizen Center Rent</t>
  </si>
  <si>
    <t>Events Center Rent - 4-H Group</t>
  </si>
  <si>
    <t>Fairgrounds - Trailer Rent</t>
  </si>
  <si>
    <t>Fairgrounds - Events Center</t>
  </si>
  <si>
    <t>Fairgrounds - Horse Stall Rent</t>
  </si>
  <si>
    <t>Fairgrounds - Lights &amp; Arena</t>
  </si>
  <si>
    <t>300-20-110</t>
  </si>
  <si>
    <t>300-20-500</t>
  </si>
  <si>
    <t>Senior Citizens Center Rent</t>
  </si>
  <si>
    <t>330-20-909</t>
  </si>
  <si>
    <t>330-20-920</t>
  </si>
  <si>
    <t>330-20-921</t>
  </si>
  <si>
    <t>330-20-925</t>
  </si>
  <si>
    <t>330-20-951</t>
  </si>
  <si>
    <t>INVESTMENT INCOME</t>
  </si>
  <si>
    <t>Interest on Investments - General</t>
  </si>
  <si>
    <t>Interest on Investments - Ambulance</t>
  </si>
  <si>
    <t>Cemetery Spaces Sold</t>
  </si>
  <si>
    <t>Total Investment Income</t>
  </si>
  <si>
    <t>300-22-200</t>
  </si>
  <si>
    <t>300-22-201</t>
  </si>
  <si>
    <t>315-22-119</t>
  </si>
  <si>
    <t>GRANTS</t>
  </si>
  <si>
    <t>Summer Reading Grant Revenue</t>
  </si>
  <si>
    <t>325-24-615</t>
  </si>
  <si>
    <t>DONATIONS</t>
  </si>
  <si>
    <t>Swimming Pool Donations</t>
  </si>
  <si>
    <t>Summer Reading Donations</t>
  </si>
  <si>
    <t>Safety Uniform Donations</t>
  </si>
  <si>
    <t>Parks &amp; Recreation Donations</t>
  </si>
  <si>
    <t>Dog Pound Donations</t>
  </si>
  <si>
    <t>320-26-218</t>
  </si>
  <si>
    <t>325-26-218</t>
  </si>
  <si>
    <t>325-26-250</t>
  </si>
  <si>
    <t>330-26-218</t>
  </si>
  <si>
    <t>335-26-270</t>
  </si>
  <si>
    <t>OTHER INCOME</t>
  </si>
  <si>
    <t>CIRSA Property/Casualty Reimb Revenue</t>
  </si>
  <si>
    <t>Miscellaneous Income</t>
  </si>
  <si>
    <t>Police Miscellaneous Revenue</t>
  </si>
  <si>
    <t>300-28-200</t>
  </si>
  <si>
    <t>CIRSA Property/Cas Reimb Revenue</t>
  </si>
  <si>
    <t>300-28-220</t>
  </si>
  <si>
    <t>335-28-220</t>
  </si>
  <si>
    <t>LEGISLATIVE</t>
  </si>
  <si>
    <t>Salaries</t>
  </si>
  <si>
    <t>Benefits</t>
  </si>
  <si>
    <t>411-02-211</t>
  </si>
  <si>
    <t>Travel/Development/Dues</t>
  </si>
  <si>
    <t>Council Education &amp; Travel</t>
  </si>
  <si>
    <t>Dues &amp; Subscriptions</t>
  </si>
  <si>
    <t>Contractual Services</t>
  </si>
  <si>
    <t>JUDICAL</t>
  </si>
  <si>
    <t>Materials &amp; Supplies</t>
  </si>
  <si>
    <t>412-01-110</t>
  </si>
  <si>
    <t>412-02-211</t>
  </si>
  <si>
    <t>Social Security/Medicare</t>
  </si>
  <si>
    <t>Court Expense</t>
  </si>
  <si>
    <t>Judge Monthly Fees</t>
  </si>
  <si>
    <t>412-05-530</t>
  </si>
  <si>
    <t>Supplies - Court</t>
  </si>
  <si>
    <t>ELECTIONS</t>
  </si>
  <si>
    <t>Elections</t>
  </si>
  <si>
    <t>FINANCIAL &amp; ADMINISTRATION</t>
  </si>
  <si>
    <t>Maintenance</t>
  </si>
  <si>
    <t xml:space="preserve">Salaries  </t>
  </si>
  <si>
    <t>415-01-110</t>
  </si>
  <si>
    <t>415-02-210</t>
  </si>
  <si>
    <t>Employment Retirement</t>
  </si>
  <si>
    <t>415-02-211</t>
  </si>
  <si>
    <t>Drug Testing Expense</t>
  </si>
  <si>
    <t>415-02-275</t>
  </si>
  <si>
    <t>Workers Compensation</t>
  </si>
  <si>
    <t>415-02-276</t>
  </si>
  <si>
    <t>415-02-278</t>
  </si>
  <si>
    <t>Medical &amp; Life Insurance</t>
  </si>
  <si>
    <t>415-03-315</t>
  </si>
  <si>
    <t>Admin Education &amp; Travel</t>
  </si>
  <si>
    <t>415-04-400</t>
  </si>
  <si>
    <t>Treasurer's Fees</t>
  </si>
  <si>
    <t>415-04-401</t>
  </si>
  <si>
    <t>Publishing</t>
  </si>
  <si>
    <t>City Promotion</t>
  </si>
  <si>
    <t>415-04-403</t>
  </si>
  <si>
    <t>Pest Control</t>
  </si>
  <si>
    <t>415-04-404</t>
  </si>
  <si>
    <t>Audit &amp; Consultation</t>
  </si>
  <si>
    <t>415-04-406</t>
  </si>
  <si>
    <t>Internet Fees</t>
  </si>
  <si>
    <t>415-04-407</t>
  </si>
  <si>
    <t>Fire &amp; Casualty Insurance</t>
  </si>
  <si>
    <t>Cell Phone Expense</t>
  </si>
  <si>
    <t>Telephone Expense</t>
  </si>
  <si>
    <t>415-04-410</t>
  </si>
  <si>
    <t>415-04-411</t>
  </si>
  <si>
    <t>Electrictiy 203 S. 9th</t>
  </si>
  <si>
    <t>415-04-412</t>
  </si>
  <si>
    <t>Electricity Shop &amp; Garage</t>
  </si>
  <si>
    <t>415-04-420</t>
  </si>
  <si>
    <t>Natural Gas City Hall</t>
  </si>
  <si>
    <t>415-04-413</t>
  </si>
  <si>
    <t>415-04-415</t>
  </si>
  <si>
    <t>415-04-421</t>
  </si>
  <si>
    <t>Natural Gas 203 S 9th</t>
  </si>
  <si>
    <t>415-04-422</t>
  </si>
  <si>
    <t>Natural Gas Shop &amp; Garage</t>
  </si>
  <si>
    <t>415-04-465</t>
  </si>
  <si>
    <t>Copier Lease</t>
  </si>
  <si>
    <t>415-04-467</t>
  </si>
  <si>
    <t>415-04-479</t>
  </si>
  <si>
    <t>Payroll Processing</t>
  </si>
  <si>
    <t>415-05-530</t>
  </si>
  <si>
    <t>Supplies</t>
  </si>
  <si>
    <t>415-05-550</t>
  </si>
  <si>
    <t>Fuel Expense</t>
  </si>
  <si>
    <t>415-07-760</t>
  </si>
  <si>
    <t>Office Equipment Repairs/Rent</t>
  </si>
  <si>
    <t xml:space="preserve">  </t>
  </si>
  <si>
    <t>419-01-110</t>
  </si>
  <si>
    <t>419-02-211</t>
  </si>
  <si>
    <t>419-05-530</t>
  </si>
  <si>
    <t>Janitor's Supplies</t>
  </si>
  <si>
    <t>Capital Purchase &amp; Equipment</t>
  </si>
  <si>
    <t>421-01-110</t>
  </si>
  <si>
    <t>421-01-115</t>
  </si>
  <si>
    <t>Police Reserve</t>
  </si>
  <si>
    <t>421-02-211</t>
  </si>
  <si>
    <t>Medicare</t>
  </si>
  <si>
    <t>421-02-225</t>
  </si>
  <si>
    <t>Pension Fund</t>
  </si>
  <si>
    <t>421-03-315</t>
  </si>
  <si>
    <t>Training - Travel Expense</t>
  </si>
  <si>
    <t>421-04-403</t>
  </si>
  <si>
    <t>Animal Shelter Operating Expense</t>
  </si>
  <si>
    <t>421-04-446</t>
  </si>
  <si>
    <t>Psychological Evaluations</t>
  </si>
  <si>
    <t>421-04-450</t>
  </si>
  <si>
    <t>Police Promotion</t>
  </si>
  <si>
    <t>421-04-465</t>
  </si>
  <si>
    <t>421-04-470</t>
  </si>
  <si>
    <t>Communications</t>
  </si>
  <si>
    <t>Criminal Investigations</t>
  </si>
  <si>
    <t>Uniforms &amp; Cleaning</t>
  </si>
  <si>
    <t>421-04-485</t>
  </si>
  <si>
    <t>Data Storage</t>
  </si>
  <si>
    <t>421-05-530</t>
  </si>
  <si>
    <t>421-05-554</t>
  </si>
  <si>
    <t>Lexipol Expenses</t>
  </si>
  <si>
    <t>421-07-751</t>
  </si>
  <si>
    <t>Vehicle Maintenance &amp; Supplies</t>
  </si>
  <si>
    <t>Eforce - RMS Expenses</t>
  </si>
  <si>
    <t>Capital Equipment</t>
  </si>
  <si>
    <t>422-01-110</t>
  </si>
  <si>
    <t>422-01-115</t>
  </si>
  <si>
    <t>422-02-211</t>
  </si>
  <si>
    <t>422-02-225</t>
  </si>
  <si>
    <t>422-03-315</t>
  </si>
  <si>
    <t>Training - Travel</t>
  </si>
  <si>
    <t>422-04-403</t>
  </si>
  <si>
    <t>Protective Clothing</t>
  </si>
  <si>
    <t>422-04-465</t>
  </si>
  <si>
    <t>422-04-470</t>
  </si>
  <si>
    <t>422-05-530</t>
  </si>
  <si>
    <t>422-05-554</t>
  </si>
  <si>
    <t>Community Risk Reduction</t>
  </si>
  <si>
    <t>422-07-735</t>
  </si>
  <si>
    <t>Equipment Maintenance</t>
  </si>
  <si>
    <t>422-07-751</t>
  </si>
  <si>
    <t>Vehicle Maintenance &amp; Repairs</t>
  </si>
  <si>
    <t>423-01-110</t>
  </si>
  <si>
    <t>423-01-115</t>
  </si>
  <si>
    <t>423-02-211</t>
  </si>
  <si>
    <t>423-03-315</t>
  </si>
  <si>
    <t>423-04-465</t>
  </si>
  <si>
    <t>423-04-470</t>
  </si>
  <si>
    <t>423-05-530</t>
  </si>
  <si>
    <t>Capital Purchases</t>
  </si>
  <si>
    <t>Equipment Operations</t>
  </si>
  <si>
    <t>426-01-115</t>
  </si>
  <si>
    <t>EMT-I Training Costs</t>
  </si>
  <si>
    <t>426-02-211</t>
  </si>
  <si>
    <t>426-02-225</t>
  </si>
  <si>
    <t>Pension Fund - Volunteers</t>
  </si>
  <si>
    <t>426-03-316</t>
  </si>
  <si>
    <t>Driver's Services</t>
  </si>
  <si>
    <t>426-04-475</t>
  </si>
  <si>
    <t>Booking Service</t>
  </si>
  <si>
    <t>Uniforms</t>
  </si>
  <si>
    <t>426-04-410</t>
  </si>
  <si>
    <t>426-04-429</t>
  </si>
  <si>
    <t>426-04-470</t>
  </si>
  <si>
    <t>426-05-530</t>
  </si>
  <si>
    <t>426-05-532</t>
  </si>
  <si>
    <t>426-05-554</t>
  </si>
  <si>
    <t>Ambulance Contingency</t>
  </si>
  <si>
    <t>Vehicles Maintenance &amp; Repairs</t>
  </si>
  <si>
    <t>426-07-751</t>
  </si>
  <si>
    <t xml:space="preserve">Capital Purchases  </t>
  </si>
  <si>
    <t>429-01-110</t>
  </si>
  <si>
    <t>429-01-115</t>
  </si>
  <si>
    <t>429-02-211</t>
  </si>
  <si>
    <t>Street Lighting</t>
  </si>
  <si>
    <t>429-04-490</t>
  </si>
  <si>
    <t>429-05-530</t>
  </si>
  <si>
    <t>Supplies - Parks</t>
  </si>
  <si>
    <t>Fuel Expense - Public Works</t>
  </si>
  <si>
    <t>Fuel Expense - Parks &amp; Rec</t>
  </si>
  <si>
    <t>429-05-599</t>
  </si>
  <si>
    <t>429-07-761</t>
  </si>
  <si>
    <t>Tree Maintenance</t>
  </si>
  <si>
    <t>429-07-770</t>
  </si>
  <si>
    <t>Sprinkler Maintenance</t>
  </si>
  <si>
    <t>442-01-110</t>
  </si>
  <si>
    <t>Salaries - Cemetery</t>
  </si>
  <si>
    <t>442-02-211</t>
  </si>
  <si>
    <t>442-04-410</t>
  </si>
  <si>
    <t>442-04-420</t>
  </si>
  <si>
    <t>Natural Gas</t>
  </si>
  <si>
    <t>442-05-530</t>
  </si>
  <si>
    <t>442-07-790</t>
  </si>
  <si>
    <t>Maintenance &amp; Materials</t>
  </si>
  <si>
    <t>Program Expenses</t>
  </si>
  <si>
    <t>447-01-110</t>
  </si>
  <si>
    <t>447-02-211</t>
  </si>
  <si>
    <t>447-04-410</t>
  </si>
  <si>
    <t>447-05-530</t>
  </si>
  <si>
    <t>Parks &amp; Rec Donation Expenses</t>
  </si>
  <si>
    <t>447-05-533</t>
  </si>
  <si>
    <t>Soccer Program</t>
  </si>
  <si>
    <t>447-09-950</t>
  </si>
  <si>
    <t>Umpires, Tournaments &amp; Trophy</t>
  </si>
  <si>
    <t>447-09-981</t>
  </si>
  <si>
    <t>Basketball Program</t>
  </si>
  <si>
    <t>Football Program</t>
  </si>
  <si>
    <t>447-09-982</t>
  </si>
  <si>
    <t>447-09-983</t>
  </si>
  <si>
    <t>Volleyball Program</t>
  </si>
  <si>
    <t>Summer Ball/Softball Program</t>
  </si>
  <si>
    <t>Capial Equipment</t>
  </si>
  <si>
    <t>Swimming Pool</t>
  </si>
  <si>
    <t>452-01-110</t>
  </si>
  <si>
    <t>452-02-211</t>
  </si>
  <si>
    <t>452-04-410</t>
  </si>
  <si>
    <t>452-04-420</t>
  </si>
  <si>
    <t>Concessions</t>
  </si>
  <si>
    <t>452-05-530</t>
  </si>
  <si>
    <t>Pool Accessories/Supplies</t>
  </si>
  <si>
    <t>452-07-735</t>
  </si>
  <si>
    <t>Contractural Services</t>
  </si>
  <si>
    <t>453-04-410</t>
  </si>
  <si>
    <t>453-04-420</t>
  </si>
  <si>
    <t>453-05-530</t>
  </si>
  <si>
    <t>Fair Supplies</t>
  </si>
  <si>
    <t>454-01-110</t>
  </si>
  <si>
    <t>454-02-211</t>
  </si>
  <si>
    <t>454-04-410</t>
  </si>
  <si>
    <t>454-04-420</t>
  </si>
  <si>
    <t>Alarm Monitoring</t>
  </si>
  <si>
    <t>Elevator Services</t>
  </si>
  <si>
    <t>454-05-530</t>
  </si>
  <si>
    <t>Library</t>
  </si>
  <si>
    <t>455-01-110</t>
  </si>
  <si>
    <t>455-02-211</t>
  </si>
  <si>
    <t>Travel &amp; Conventions</t>
  </si>
  <si>
    <t>455-04-403</t>
  </si>
  <si>
    <t>455-04-406</t>
  </si>
  <si>
    <t>Database Enrollments</t>
  </si>
  <si>
    <t>455-04-410</t>
  </si>
  <si>
    <t>455-04-420</t>
  </si>
  <si>
    <t>Electronic Media</t>
  </si>
  <si>
    <t>455-04-465</t>
  </si>
  <si>
    <t>455-05-530</t>
  </si>
  <si>
    <t>Summer Reading Grant Exp</t>
  </si>
  <si>
    <t>Transfer from Sewer Fund</t>
  </si>
  <si>
    <t>Transfer from Garbage Fund</t>
  </si>
  <si>
    <t>Transfer from Water Fund</t>
  </si>
  <si>
    <t>Operating Transfer Out (CIP Fund)</t>
  </si>
  <si>
    <t>Operating Transfer Out (Public Safety)</t>
  </si>
  <si>
    <t>Special Purposes</t>
  </si>
  <si>
    <t>Public Safety Building</t>
  </si>
  <si>
    <t>Ambulance Services (10-102-111)</t>
  </si>
  <si>
    <t>Ambulance Services (10-104-212)</t>
  </si>
  <si>
    <t>429-04-445</t>
  </si>
  <si>
    <t>429-07-735</t>
  </si>
  <si>
    <t>429-07-751</t>
  </si>
  <si>
    <t>429-08-850</t>
  </si>
  <si>
    <t>421-08-850</t>
  </si>
  <si>
    <t>422-08-850</t>
  </si>
  <si>
    <t>423-08-850</t>
  </si>
  <si>
    <t>426-08-850</t>
  </si>
  <si>
    <t>442-08-850</t>
  </si>
  <si>
    <t>447-08-850</t>
  </si>
  <si>
    <t>452-08-850</t>
  </si>
  <si>
    <t>453-80-850</t>
  </si>
  <si>
    <t>454-08-850</t>
  </si>
  <si>
    <t>455-08-850</t>
  </si>
  <si>
    <t>WATER FUND</t>
  </si>
  <si>
    <t>Charges for Service</t>
  </si>
  <si>
    <t>Rental Income</t>
  </si>
  <si>
    <t>Investment Income</t>
  </si>
  <si>
    <t>Other Income</t>
  </si>
  <si>
    <t>TOTAL REVENUE</t>
  </si>
  <si>
    <t>Charges for Services</t>
  </si>
  <si>
    <t>Water Dept. Revenue</t>
  </si>
  <si>
    <t>344-15-118</t>
  </si>
  <si>
    <t>Tap Fee Revenue</t>
  </si>
  <si>
    <t>344-20-500</t>
  </si>
  <si>
    <t>361-20-250</t>
  </si>
  <si>
    <t>Water Rental House</t>
  </si>
  <si>
    <t>344-22-211</t>
  </si>
  <si>
    <t>Late Fee Revenue</t>
  </si>
  <si>
    <t>344-22-212</t>
  </si>
  <si>
    <t>Credit Card Trans Fee Revenue</t>
  </si>
  <si>
    <t>361-22-206</t>
  </si>
  <si>
    <t>361-22-208</t>
  </si>
  <si>
    <t>Int - Construction Account</t>
  </si>
  <si>
    <t>Int - Bond &amp; Int Account</t>
  </si>
  <si>
    <t>361-22-301</t>
  </si>
  <si>
    <t>Interest on Investments - Water</t>
  </si>
  <si>
    <t>344-28-131</t>
  </si>
  <si>
    <t>Water - Miscellaneous Income</t>
  </si>
  <si>
    <t>Tower Rental Fees</t>
  </si>
  <si>
    <t>433-01-110</t>
  </si>
  <si>
    <t>433-01-111</t>
  </si>
  <si>
    <t>Administrative Salaries</t>
  </si>
  <si>
    <t>433-01-115</t>
  </si>
  <si>
    <t>433-02-211</t>
  </si>
  <si>
    <t>433-02-275</t>
  </si>
  <si>
    <t>433-02-278</t>
  </si>
  <si>
    <t>Education &amp; Training</t>
  </si>
  <si>
    <t>Association Dues</t>
  </si>
  <si>
    <t>Cash Over &amp; (Under)</t>
  </si>
  <si>
    <t>Water Leasing Expense</t>
  </si>
  <si>
    <t>Mailing Expense</t>
  </si>
  <si>
    <t>Lab Tests</t>
  </si>
  <si>
    <t>Software Support Fees</t>
  </si>
  <si>
    <t>433-05-515</t>
  </si>
  <si>
    <t>Chlorine</t>
  </si>
  <si>
    <t>433-05-530</t>
  </si>
  <si>
    <t>Tools</t>
  </si>
  <si>
    <t>433-05-550</t>
  </si>
  <si>
    <t>Pre-Sed</t>
  </si>
  <si>
    <t>433-05-555</t>
  </si>
  <si>
    <t>Fuel Expense &amp; Maintenance</t>
  </si>
  <si>
    <t>433-06-620</t>
  </si>
  <si>
    <t>Lab Equipment</t>
  </si>
  <si>
    <t>433-06-652</t>
  </si>
  <si>
    <t>Zone 2 Pump Station</t>
  </si>
  <si>
    <t>433-07-725</t>
  </si>
  <si>
    <t>433-07-735</t>
  </si>
  <si>
    <t>Main Replacement</t>
  </si>
  <si>
    <t>433-07-760</t>
  </si>
  <si>
    <t>433-09-906</t>
  </si>
  <si>
    <t>Ditch Assessments</t>
  </si>
  <si>
    <t>433-09-907</t>
  </si>
  <si>
    <t>Storage</t>
  </si>
  <si>
    <t>433-09-908</t>
  </si>
  <si>
    <t>Conduit</t>
  </si>
  <si>
    <t>433-08-814</t>
  </si>
  <si>
    <t>Replace Fire Hydrants</t>
  </si>
  <si>
    <t>433-08-847</t>
  </si>
  <si>
    <t>433-00-003</t>
  </si>
  <si>
    <t>Debt Service - RUD Interest</t>
  </si>
  <si>
    <t>433-00-005</t>
  </si>
  <si>
    <t>Debt Service - Rural Development</t>
  </si>
  <si>
    <t>433-00-030</t>
  </si>
  <si>
    <t>433-00-032</t>
  </si>
  <si>
    <t>Backhoe Lease</t>
  </si>
  <si>
    <t>433-00-091</t>
  </si>
  <si>
    <t>Debt Service - Retirement Bonds</t>
  </si>
  <si>
    <t>433-00-092</t>
  </si>
  <si>
    <t>Debt Service - Interest</t>
  </si>
  <si>
    <t>433-00-097</t>
  </si>
  <si>
    <t>Jet Vac Truck FNBLA</t>
  </si>
  <si>
    <t>Future Construction</t>
  </si>
  <si>
    <t>Debt Service Fund</t>
  </si>
  <si>
    <t>Capital Projects</t>
  </si>
  <si>
    <t>Contingency (25%)</t>
  </si>
  <si>
    <t>433-00-098</t>
  </si>
  <si>
    <t>SCADA Plus</t>
  </si>
  <si>
    <t>Future Projects</t>
  </si>
  <si>
    <t>General Revenue</t>
  </si>
  <si>
    <t>300-10-103</t>
  </si>
  <si>
    <t>1% Sales Tax</t>
  </si>
  <si>
    <t>490-06-605</t>
  </si>
  <si>
    <t>490-06-622</t>
  </si>
  <si>
    <t>Cemetery Improv. &amp; Equipment</t>
  </si>
  <si>
    <t>490-06-681</t>
  </si>
  <si>
    <t>Police Equipment</t>
  </si>
  <si>
    <t>490-06-682</t>
  </si>
  <si>
    <t>Public Works Equipment</t>
  </si>
  <si>
    <t>490-06-683</t>
  </si>
  <si>
    <t>Contingency</t>
  </si>
  <si>
    <t>490-07-900</t>
  </si>
  <si>
    <t>Hwy Admin/Misc - 5% Total Tax</t>
  </si>
  <si>
    <t>490-07-902</t>
  </si>
  <si>
    <t>Cartegraph Road Software</t>
  </si>
  <si>
    <t>490-07-909</t>
  </si>
  <si>
    <t>HUTF Equipment Repairs/Maint</t>
  </si>
  <si>
    <t>490-07-910</t>
  </si>
  <si>
    <t>Street Repairs - In House/Contractor</t>
  </si>
  <si>
    <t>490-07-911</t>
  </si>
  <si>
    <t>Road Oil - For Chip Seal</t>
  </si>
  <si>
    <t>490-07-912</t>
  </si>
  <si>
    <t>Chips - For Chip Seal</t>
  </si>
  <si>
    <t>490-07-913</t>
  </si>
  <si>
    <t>Perma Patch</t>
  </si>
  <si>
    <t>490-07-914</t>
  </si>
  <si>
    <t>Crack Fill Material</t>
  </si>
  <si>
    <t>490-07-915</t>
  </si>
  <si>
    <t>Road Base/Sand/Rock</t>
  </si>
  <si>
    <t>490-07-916</t>
  </si>
  <si>
    <t>Cement - Streets</t>
  </si>
  <si>
    <t>490-07-917</t>
  </si>
  <si>
    <t>Weed Spray</t>
  </si>
  <si>
    <t>490-07-918</t>
  </si>
  <si>
    <t>Snow &amp; Ice Removal</t>
  </si>
  <si>
    <t>490-07-919</t>
  </si>
  <si>
    <t>Signs &amp; Traffic Control</t>
  </si>
  <si>
    <t>490-07-920</t>
  </si>
  <si>
    <t>Boots</t>
  </si>
  <si>
    <t>490-07-921</t>
  </si>
  <si>
    <t>Jackets</t>
  </si>
  <si>
    <t>490-07-922</t>
  </si>
  <si>
    <t>Personal Protective Equipment</t>
  </si>
  <si>
    <t>490-07-923</t>
  </si>
  <si>
    <t>Small Tools</t>
  </si>
  <si>
    <t>490-07-924</t>
  </si>
  <si>
    <t>Street Maintenance Salaries</t>
  </si>
  <si>
    <t>490-07-925</t>
  </si>
  <si>
    <t>Hwy Law Enforcement Salaries</t>
  </si>
  <si>
    <t>490-08-550</t>
  </si>
  <si>
    <t>Capital Outlay - Sewer (Simon)</t>
  </si>
  <si>
    <t>490-00-072</t>
  </si>
  <si>
    <t>City Hall Roof Repayment</t>
  </si>
  <si>
    <t xml:space="preserve">TOTAL EXPENDITURES </t>
  </si>
  <si>
    <t>TABOR Reserve</t>
  </si>
  <si>
    <t>Interest on Investments</t>
  </si>
  <si>
    <t>300-16-280</t>
  </si>
  <si>
    <t>300-22-301</t>
  </si>
  <si>
    <t>Golf Course - CTF</t>
  </si>
  <si>
    <t>Library Books - CTF</t>
  </si>
  <si>
    <t>Parks - CTF</t>
  </si>
  <si>
    <t>Contingency - CTF</t>
  </si>
  <si>
    <t>Swimming Pool - CTF</t>
  </si>
  <si>
    <t>Parks Projects</t>
  </si>
  <si>
    <t>490-08-001</t>
  </si>
  <si>
    <t>SEWER FUND</t>
  </si>
  <si>
    <t>Sewer Dept. Revenue</t>
  </si>
  <si>
    <t>344-15-200</t>
  </si>
  <si>
    <t>344-15-205</t>
  </si>
  <si>
    <t>Sewer Restr for Debt Repay</t>
  </si>
  <si>
    <t>Interest on Investments - Sewer</t>
  </si>
  <si>
    <t>344-28-210</t>
  </si>
  <si>
    <t>Sewer - Miscellaneous Income</t>
  </si>
  <si>
    <t>Operating Expense</t>
  </si>
  <si>
    <t>433-05-502</t>
  </si>
  <si>
    <t>Treatment Chemicals</t>
  </si>
  <si>
    <t>433-05-518</t>
  </si>
  <si>
    <t>433-05-519</t>
  </si>
  <si>
    <t>Sodium Bisulfate</t>
  </si>
  <si>
    <t>433-08-800</t>
  </si>
  <si>
    <t>Sewer Line Replacement Program</t>
  </si>
  <si>
    <t>433-08-801</t>
  </si>
  <si>
    <t>Manhole Replacement Program</t>
  </si>
  <si>
    <t>433-00-022</t>
  </si>
  <si>
    <t>Repayment DOLA Loan</t>
  </si>
  <si>
    <t>433-00-024</t>
  </si>
  <si>
    <t>Water Pollution Repayment</t>
  </si>
  <si>
    <t>Sewer Lagoon Loan II Debt Svc</t>
  </si>
  <si>
    <t>O&amp;M Reserve</t>
  </si>
  <si>
    <t>320-15-310</t>
  </si>
  <si>
    <t>Babcock Adults</t>
  </si>
  <si>
    <t>419-05-599</t>
  </si>
  <si>
    <t>GARBAGE FUND</t>
  </si>
  <si>
    <t>Garbage Dept. Revenue</t>
  </si>
  <si>
    <t>344-15-310</t>
  </si>
  <si>
    <t>344-15-320</t>
  </si>
  <si>
    <t>Yard Waste Bags</t>
  </si>
  <si>
    <t>Total Charges for Service</t>
  </si>
  <si>
    <t>Recycling Revenue</t>
  </si>
  <si>
    <t>344-28-330</t>
  </si>
  <si>
    <t>Beautification Grant - Tree Bd</t>
  </si>
  <si>
    <t>344-28-300</t>
  </si>
  <si>
    <t>433-04-431</t>
  </si>
  <si>
    <t>Recycling Fees</t>
  </si>
  <si>
    <t>433-04-432</t>
  </si>
  <si>
    <t>Land Fill/Per Capita Fees</t>
  </si>
  <si>
    <t>Landfill Compaction/Tipping</t>
  </si>
  <si>
    <t>Containers</t>
  </si>
  <si>
    <t>Beautification - Tree Board</t>
  </si>
  <si>
    <t>Truck Replacement</t>
  </si>
  <si>
    <t>PUBLIC SAFETY BUILDING FUND</t>
  </si>
  <si>
    <t>Public Safety Bldg Donations</t>
  </si>
  <si>
    <t>Public Safety Bldg Pension Grant</t>
  </si>
  <si>
    <t>DOLA Grant</t>
  </si>
  <si>
    <t>Public Safety Bldg Expenses</t>
  </si>
  <si>
    <t>Engineering Fees</t>
  </si>
  <si>
    <t>GRAND THEATER FUND</t>
  </si>
  <si>
    <t>347-15-126</t>
  </si>
  <si>
    <t>Concession Income</t>
  </si>
  <si>
    <t>347-15-321</t>
  </si>
  <si>
    <t>Ticket Sales</t>
  </si>
  <si>
    <t>367-15-221</t>
  </si>
  <si>
    <t>Live Performances</t>
  </si>
  <si>
    <t>368-15-305</t>
  </si>
  <si>
    <t>Advertising Income</t>
  </si>
  <si>
    <t>362-20-210</t>
  </si>
  <si>
    <t>Rent Income</t>
  </si>
  <si>
    <t>368-28-220</t>
  </si>
  <si>
    <t>Donations</t>
  </si>
  <si>
    <t>451-01-110</t>
  </si>
  <si>
    <t>451-02-211</t>
  </si>
  <si>
    <t>451-04-410</t>
  </si>
  <si>
    <t>451-04-416</t>
  </si>
  <si>
    <t>Janitorial Supplies</t>
  </si>
  <si>
    <t>451-04-420</t>
  </si>
  <si>
    <t>Audit Fees</t>
  </si>
  <si>
    <t>Insurance - Fire &amp; Casualty</t>
  </si>
  <si>
    <t>Agent's Fees</t>
  </si>
  <si>
    <t>Films</t>
  </si>
  <si>
    <t>451-05-530</t>
  </si>
  <si>
    <t>451-05-550</t>
  </si>
  <si>
    <t>Excise Tax</t>
  </si>
  <si>
    <t>300-10-106</t>
  </si>
  <si>
    <t>Fire Prevention, Smoke Alarm and Fire Extinguisher Campaigns</t>
  </si>
  <si>
    <t>310-24-100</t>
  </si>
  <si>
    <t>Fire Department Grants</t>
  </si>
  <si>
    <t>429-04-420</t>
  </si>
  <si>
    <t>COMMUNITY DEVELOPMENT FUND</t>
  </si>
  <si>
    <t>Rent - ED Building</t>
  </si>
  <si>
    <t>Interest on Investment</t>
  </si>
  <si>
    <t>344-28-220</t>
  </si>
  <si>
    <t>Equipment Replacement</t>
  </si>
  <si>
    <t>Contingency (15%)</t>
  </si>
  <si>
    <t>Depreciation</t>
  </si>
  <si>
    <t>Rural Water/AWWA</t>
  </si>
  <si>
    <t>Fairgrounds Maintenance</t>
  </si>
  <si>
    <t>Library Books</t>
  </si>
  <si>
    <t>Contingency (10%)</t>
  </si>
  <si>
    <t>JANITORIAL</t>
  </si>
  <si>
    <t>POLICE DEPARTMENT</t>
  </si>
  <si>
    <t>PARKS &amp; RECREATION</t>
  </si>
  <si>
    <t>SWIMMING POOL</t>
  </si>
  <si>
    <t>FAIRGROUNDS</t>
  </si>
  <si>
    <t>MUSEUM</t>
  </si>
  <si>
    <t>LIBRARY</t>
  </si>
  <si>
    <t>426-08-851</t>
  </si>
  <si>
    <t>Ambulance Replacement</t>
  </si>
  <si>
    <t>422-08-851</t>
  </si>
  <si>
    <t>Fire Apparatus</t>
  </si>
  <si>
    <t>HUTF &amp; FASTER</t>
  </si>
  <si>
    <t>Transfer from CIP Fund</t>
  </si>
  <si>
    <t>Transfer from CTF Fund</t>
  </si>
  <si>
    <t xml:space="preserve">USBANC Lease  </t>
  </si>
  <si>
    <t>433-00-033</t>
  </si>
  <si>
    <t>Interest - ACME leases</t>
  </si>
  <si>
    <t>ACTUAL</t>
  </si>
  <si>
    <t>Maintenance Office Equip.</t>
  </si>
  <si>
    <t>PROPOSED</t>
  </si>
  <si>
    <t>344-28-225</t>
  </si>
  <si>
    <t>Tree board donations</t>
  </si>
  <si>
    <t>Marijuana Sales Tax</t>
  </si>
  <si>
    <t>Property Sold in 2018</t>
  </si>
  <si>
    <t>TAX REVENUE</t>
  </si>
  <si>
    <t>GENERAL FUND REVENUE</t>
  </si>
  <si>
    <t>JUDICAIL</t>
  </si>
  <si>
    <t>FINANCE &amp; ADMINISTRATION</t>
  </si>
  <si>
    <t>Recreation Promotions</t>
  </si>
  <si>
    <t>DISPATCH</t>
  </si>
  <si>
    <t>AMBULANCE</t>
  </si>
  <si>
    <t>PUBLIC WORKS</t>
  </si>
  <si>
    <t>415-08-100</t>
  </si>
  <si>
    <t>Debt Services - Fire/Volunteer</t>
  </si>
  <si>
    <t>422-08-100</t>
  </si>
  <si>
    <t>423-08-100</t>
  </si>
  <si>
    <t>426-08-100</t>
  </si>
  <si>
    <t>429-08-100</t>
  </si>
  <si>
    <t>447-08-100</t>
  </si>
  <si>
    <t>452-08-100</t>
  </si>
  <si>
    <t>Debt Services - Parks &amp; Rec</t>
  </si>
  <si>
    <t>Debt Services - Swimming Pool</t>
  </si>
  <si>
    <t>421-08-100</t>
  </si>
  <si>
    <t>Debt Services - Police</t>
  </si>
  <si>
    <t>GENERAL ADMINISTRATION</t>
  </si>
  <si>
    <t>USBank Lease HVAC Upgrade</t>
  </si>
  <si>
    <t xml:space="preserve">Contractual Services </t>
  </si>
  <si>
    <t>Debt Services</t>
  </si>
  <si>
    <t>BUDGET</t>
  </si>
  <si>
    <t>SUPPLEMENTAL</t>
  </si>
  <si>
    <t>ACCOUNT TITLE</t>
  </si>
  <si>
    <t>REVENUES:</t>
  </si>
  <si>
    <t xml:space="preserve">EXPENDITURES: </t>
  </si>
  <si>
    <t xml:space="preserve">EXCESS (DEFICIENCY) OF REVENUES OVER (UNDER) EXPENDITURES </t>
  </si>
  <si>
    <t>OTHER FINANCING SOURCES (USES)</t>
  </si>
  <si>
    <t>TOTAL OTHER FINANCING SOURCES (USES)</t>
  </si>
  <si>
    <t>TOTAL GENERAL FUND EXPENDITURES</t>
  </si>
  <si>
    <t>EXCESS (DEFINCIENCY) OF REVENUES AND OTHER SOURCES OVER (UNDER) EXPENDITURES AND OTHER USES</t>
  </si>
  <si>
    <t>Fund Balance, Begining of Year</t>
  </si>
  <si>
    <t xml:space="preserve">FUND BALANCE, END OF YEAR </t>
  </si>
  <si>
    <t xml:space="preserve">LESS CLASSIFIED FUND BALANCE: </t>
  </si>
  <si>
    <t xml:space="preserve">RESTRICTED FOR </t>
  </si>
  <si>
    <t xml:space="preserve">TOTAL CLASSIFIED FUND BALANCE </t>
  </si>
  <si>
    <t xml:space="preserve">UNASSIGNED FUND BALANCE </t>
  </si>
  <si>
    <t>Credit Card Processing Fee</t>
  </si>
  <si>
    <t>WATER FUND REVENUE</t>
  </si>
  <si>
    <t>GENERAL FUND EXPENDITURES</t>
  </si>
  <si>
    <t>FUND 010: GENERAL FUND</t>
  </si>
  <si>
    <t>FUND: 020 -WATER FUND</t>
  </si>
  <si>
    <t>SEWER FUND REVENUE</t>
  </si>
  <si>
    <t xml:space="preserve">Rental Income </t>
  </si>
  <si>
    <t xml:space="preserve">Other Income </t>
  </si>
  <si>
    <t xml:space="preserve">Investment Income </t>
  </si>
  <si>
    <t>COMMENTS</t>
  </si>
  <si>
    <t xml:space="preserve">Debt Services </t>
  </si>
  <si>
    <t xml:space="preserve">Materials &amp; Supplies </t>
  </si>
  <si>
    <t>FUND: 021 -SEWER FUND</t>
  </si>
  <si>
    <t>FUND: 022 -GARBAGE FUND</t>
  </si>
  <si>
    <t>GARBAGE FUND REVENUE</t>
  </si>
  <si>
    <t>WATER FUND EXPENDITURES</t>
  </si>
  <si>
    <t>SEWER FUND EXPENDITURES</t>
  </si>
  <si>
    <t>GARBAGE FUND EXPENDITURES</t>
  </si>
  <si>
    <t xml:space="preserve">Maintenance </t>
  </si>
  <si>
    <t>EXPENDITURES:</t>
  </si>
  <si>
    <t>426-01-110</t>
  </si>
  <si>
    <t xml:space="preserve">EMS State Grant </t>
  </si>
  <si>
    <t>310-24-101</t>
  </si>
  <si>
    <t>CPR Campaign</t>
  </si>
  <si>
    <t xml:space="preserve">EMT Equiptment </t>
  </si>
  <si>
    <t>426-08-852</t>
  </si>
  <si>
    <t>PROJECTED</t>
  </si>
  <si>
    <t>411-03-315</t>
  </si>
  <si>
    <t>415-04-416</t>
  </si>
  <si>
    <t xml:space="preserve">Electricity Public Safety Building </t>
  </si>
  <si>
    <t>415-04-423</t>
  </si>
  <si>
    <t xml:space="preserve">Natural Gas Public Safety Building </t>
  </si>
  <si>
    <t>Utilties Boys &amp; Girls Club</t>
  </si>
  <si>
    <t>344-15-110</t>
  </si>
  <si>
    <t>433-04-410</t>
  </si>
  <si>
    <t>433-04-420</t>
  </si>
  <si>
    <t>BACK OUT DEBT SERVICE PRINCIPAL</t>
  </si>
  <si>
    <t>433-04-441</t>
  </si>
  <si>
    <t xml:space="preserve">Sewer Line Observation </t>
  </si>
  <si>
    <t>TOTAL TAX REVENUE</t>
  </si>
  <si>
    <t>TOTAL FRANCHISE REVENUE</t>
  </si>
  <si>
    <t>TOTAL LICENSE &amp; PERMITS</t>
  </si>
  <si>
    <t>TOTAL CHARGES FOR SERVICES</t>
  </si>
  <si>
    <t>TOTAL INTERGOVERMENTAL</t>
  </si>
  <si>
    <t>TOTAL FINES &amp; FORFEITURES</t>
  </si>
  <si>
    <t xml:space="preserve">TOTAL RENTAL INCOME </t>
  </si>
  <si>
    <t>TOTAL INVESTMENT INCOME</t>
  </si>
  <si>
    <t>TOTAL GRANTS</t>
  </si>
  <si>
    <t>TOTAL DONATIONS</t>
  </si>
  <si>
    <t xml:space="preserve">TOTAL OTHER INCOME </t>
  </si>
  <si>
    <t>TOTAL LEGISTATIVE</t>
  </si>
  <si>
    <t xml:space="preserve">Total Personnel </t>
  </si>
  <si>
    <t xml:space="preserve">Total Travel/Development/Dues </t>
  </si>
  <si>
    <t xml:space="preserve">Total Contractual Services </t>
  </si>
  <si>
    <t xml:space="preserve">Total Materials &amp; Supplies </t>
  </si>
  <si>
    <t>TOTAL JUDICAIL</t>
  </si>
  <si>
    <t>TOTAL ELECTIONS</t>
  </si>
  <si>
    <t xml:space="preserve">Total Salaries </t>
  </si>
  <si>
    <t xml:space="preserve">Total Benefits </t>
  </si>
  <si>
    <t xml:space="preserve">Total Maintenance </t>
  </si>
  <si>
    <t xml:space="preserve">Total Capital Purchase &amp; Equipment </t>
  </si>
  <si>
    <t>TOTAL FINANCE &amp; ADMINISTRATION</t>
  </si>
  <si>
    <t>Total Salaries</t>
  </si>
  <si>
    <t>TOTAL JANITORIAL</t>
  </si>
  <si>
    <t xml:space="preserve">Total Debt Services </t>
  </si>
  <si>
    <t xml:space="preserve">Total Capital Purchases Equipment </t>
  </si>
  <si>
    <t>Total Benefits</t>
  </si>
  <si>
    <t>Total Personnel</t>
  </si>
  <si>
    <t>Total Travel/Development/Dues</t>
  </si>
  <si>
    <t>Total Contractual Services</t>
  </si>
  <si>
    <t>Total Materials &amp; Supplies</t>
  </si>
  <si>
    <t>Total Capital Purchases &amp; Equipment</t>
  </si>
  <si>
    <t>Total Debt Services</t>
  </si>
  <si>
    <t>Debt Services - Admin</t>
  </si>
  <si>
    <t>Debt Services - Dispatch</t>
  </si>
  <si>
    <t>TOTAL DISPATCH</t>
  </si>
  <si>
    <t xml:space="preserve">Total Contractural Services </t>
  </si>
  <si>
    <t xml:space="preserve">Total Equipment Operations </t>
  </si>
  <si>
    <t xml:space="preserve">Total Capital Purchases &amp; Equipment </t>
  </si>
  <si>
    <t>Debt Services - Ambulance</t>
  </si>
  <si>
    <t>TOTAL AMBULANCE</t>
  </si>
  <si>
    <t xml:space="preserve">Debt Services - Public Works </t>
  </si>
  <si>
    <t>TOTAL PUBLIC WORKS</t>
  </si>
  <si>
    <t>Debt Services - Cemetary</t>
  </si>
  <si>
    <t>TOTAL CEMETARY</t>
  </si>
  <si>
    <t xml:space="preserve">Total Program Expenses </t>
  </si>
  <si>
    <t xml:space="preserve">Total Capital Purchases &amp; Improvements </t>
  </si>
  <si>
    <t>TOTAL PARKS &amp; RECREATION</t>
  </si>
  <si>
    <t xml:space="preserve">TOTAL SWIMMING POOL </t>
  </si>
  <si>
    <t>TOTAL FAIRGROUNDS</t>
  </si>
  <si>
    <t>TOTAL MUSEUM</t>
  </si>
  <si>
    <t xml:space="preserve">Total Programs Expenses </t>
  </si>
  <si>
    <t>TOTAL LIBRARY</t>
  </si>
  <si>
    <t xml:space="preserve">Total Capital Outlay </t>
  </si>
  <si>
    <t>TOTAL GERNERAL ADMINSTRATION</t>
  </si>
  <si>
    <t xml:space="preserve">TOTAL GENERAL FUND REVENUE </t>
  </si>
  <si>
    <t xml:space="preserve">TOTAL GENERAL FUND EXPENDITURES </t>
  </si>
  <si>
    <t>411-01-110</t>
  </si>
  <si>
    <t>Salaries - Legislative</t>
  </si>
  <si>
    <t>Salaries - Judicail</t>
  </si>
  <si>
    <t>Salaries - Finance/Admin</t>
  </si>
  <si>
    <t>Salaries - Janitorial</t>
  </si>
  <si>
    <t>Salaries - Police</t>
  </si>
  <si>
    <t>Overtime - Police</t>
  </si>
  <si>
    <t>Salaries - Fire</t>
  </si>
  <si>
    <t>Overtime - Fire</t>
  </si>
  <si>
    <t>Salaries - Dispatch</t>
  </si>
  <si>
    <t xml:space="preserve">Overtime - Dispatch </t>
  </si>
  <si>
    <t>Salaries - Ambulance</t>
  </si>
  <si>
    <t>Overtime - Ambulance</t>
  </si>
  <si>
    <t>Salaries - Public Works</t>
  </si>
  <si>
    <t>Overtime - Public Works</t>
  </si>
  <si>
    <t>CEMETERY</t>
  </si>
  <si>
    <t>Salaries - Parks/Recreation</t>
  </si>
  <si>
    <t>Salaries - Swimming Pool</t>
  </si>
  <si>
    <t>Salaries - Museum</t>
  </si>
  <si>
    <t>Salaries - Library</t>
  </si>
  <si>
    <t xml:space="preserve">TOTAL TAX REVENUE </t>
  </si>
  <si>
    <t xml:space="preserve">TOTAL FRANCHISE REVENUE </t>
  </si>
  <si>
    <t xml:space="preserve">TOTAL LICENSE &amp; PERMITS </t>
  </si>
  <si>
    <t xml:space="preserve">TOTAL CHARGES FOR SERVICES </t>
  </si>
  <si>
    <t xml:space="preserve">TOTAL INTERGOVERNMENTAL </t>
  </si>
  <si>
    <t xml:space="preserve">TOTAL FINES &amp; FORFEITURES </t>
  </si>
  <si>
    <t>TOTAL RENTAL INCOME</t>
  </si>
  <si>
    <t xml:space="preserve">TOTAL INVESTMENT INCOME </t>
  </si>
  <si>
    <t xml:space="preserve">TOTAL GRANTS </t>
  </si>
  <si>
    <t xml:space="preserve">TOTAL DONATIONS </t>
  </si>
  <si>
    <t xml:space="preserve">TOTAL LEGISLATIVE </t>
  </si>
  <si>
    <t xml:space="preserve">TOTAL JUDICIAL </t>
  </si>
  <si>
    <t xml:space="preserve">TOTAL ELECTIONS </t>
  </si>
  <si>
    <t xml:space="preserve">TOTAL FINANCIAL &amp; ADMINISTRATION </t>
  </si>
  <si>
    <t xml:space="preserve">TOTAL JANITORIAL </t>
  </si>
  <si>
    <t>FIRE DEPARTMENT</t>
  </si>
  <si>
    <t xml:space="preserve">TOTAL FIRE DEPARTMENT </t>
  </si>
  <si>
    <t>TOTAL POLICE DEPARTMENT</t>
  </si>
  <si>
    <t xml:space="preserve">AMBULANCE </t>
  </si>
  <si>
    <t xml:space="preserve">TOTAL AMBULANCE </t>
  </si>
  <si>
    <t xml:space="preserve">TOTAL PUBLIC WORKS </t>
  </si>
  <si>
    <t xml:space="preserve">TOTAL CEMETARY </t>
  </si>
  <si>
    <t xml:space="preserve">TOTAL PARKS &amp; RECREATION </t>
  </si>
  <si>
    <t xml:space="preserve">TOTAL FAIRGROUNDS </t>
  </si>
  <si>
    <t xml:space="preserve">TOTAL MUSEUM </t>
  </si>
  <si>
    <t xml:space="preserve">TOTAL LIBRARY </t>
  </si>
  <si>
    <t xml:space="preserve">TOTAL GENERAL ADMINISTRATION </t>
  </si>
  <si>
    <t xml:space="preserve">Surcharge Expense </t>
  </si>
  <si>
    <t>Police Surcharge Revenue</t>
  </si>
  <si>
    <t>TOTAL FIRE DEPARTMENT</t>
  </si>
  <si>
    <t>415-04-445</t>
  </si>
  <si>
    <t>Cell phone Expense</t>
  </si>
  <si>
    <t>433-04-445</t>
  </si>
  <si>
    <t>Transfer from Public Safety</t>
  </si>
  <si>
    <t>Proceeds of Property</t>
  </si>
  <si>
    <t>415-08-850</t>
  </si>
  <si>
    <t>PUBLIC BUILDING REVENUES</t>
  </si>
  <si>
    <t>PUBLIC BUILDING EXPENSES</t>
  </si>
  <si>
    <t>TOTAL GRANT REVENUE</t>
  </si>
  <si>
    <t>Other Revenues</t>
  </si>
  <si>
    <t>CAPITAL IMPROVEMENT FUND REVENUE</t>
  </si>
  <si>
    <t xml:space="preserve">Total General Revenue </t>
  </si>
  <si>
    <t xml:space="preserve">Total Charges for Services </t>
  </si>
  <si>
    <t xml:space="preserve">Total Rental Income </t>
  </si>
  <si>
    <t xml:space="preserve">Total Investment Income </t>
  </si>
  <si>
    <t xml:space="preserve">Total Other Income </t>
  </si>
  <si>
    <t xml:space="preserve">TOTAL WATER FUND REVENUE </t>
  </si>
  <si>
    <t xml:space="preserve">TOTAL WATER FUND EXPENDITURES </t>
  </si>
  <si>
    <t>Total Other Income</t>
  </si>
  <si>
    <t xml:space="preserve">TOTAL SEWER FUND REVENUE </t>
  </si>
  <si>
    <t>Total Maintenance</t>
  </si>
  <si>
    <t xml:space="preserve">TOTAL SEWER FUND EXPENDITURES </t>
  </si>
  <si>
    <t xml:space="preserve">TOTAL GARBAGE FUND REVENUE </t>
  </si>
  <si>
    <t xml:space="preserve">TOTAL GARBAGE FUND EXPENDITURES </t>
  </si>
  <si>
    <t>TOTAL CAPITAL IMPROVEMENT REVENUE</t>
  </si>
  <si>
    <t xml:space="preserve">Total Debt Service </t>
  </si>
  <si>
    <t>FUND: 080 - CONSERVATION TRUST FUND</t>
  </si>
  <si>
    <t>CONSERVATION TRUST FUND REVENUE</t>
  </si>
  <si>
    <t xml:space="preserve">Intergovernmental Revenue </t>
  </si>
  <si>
    <t xml:space="preserve">Total Intergovernmental Revenue </t>
  </si>
  <si>
    <t>TOTAL CONSERVATION TRUST FUND REVENUE</t>
  </si>
  <si>
    <t>CONSERVATION TRUST FUND EXPENDITURES</t>
  </si>
  <si>
    <t>Supplies &amp; Materials</t>
  </si>
  <si>
    <t xml:space="preserve">Capital Purchases &amp; Equipment </t>
  </si>
  <si>
    <t>REVENUE:</t>
  </si>
  <si>
    <t>Intergovernmental Revenue</t>
  </si>
  <si>
    <t xml:space="preserve">Interest On Invesments </t>
  </si>
  <si>
    <t>FUND: 070 - GRAND THEATER</t>
  </si>
  <si>
    <t>Charges for Services Revenue</t>
  </si>
  <si>
    <t>Total Rental Income</t>
  </si>
  <si>
    <t>TOTAL GRANT THEATER REVENUE</t>
  </si>
  <si>
    <t>GRAND THEATER REVENUE</t>
  </si>
  <si>
    <t>GRAND THEATER EXPENDITURES</t>
  </si>
  <si>
    <t xml:space="preserve">Salareis </t>
  </si>
  <si>
    <t xml:space="preserve">Materieal &amp; Supplies </t>
  </si>
  <si>
    <t>TOTAL GRAND THEATER EXPENDITURES</t>
  </si>
  <si>
    <t>300-20-115</t>
  </si>
  <si>
    <t xml:space="preserve">Public Safety Building - Rent </t>
  </si>
  <si>
    <t>2021</t>
  </si>
  <si>
    <t>421-04-408</t>
  </si>
  <si>
    <t>IT Expense</t>
  </si>
  <si>
    <t>423-04-408</t>
  </si>
  <si>
    <t>Manzanola Rural ($300), Fowler Rural ($3,000), AMR ($18,000, Fowler PD $23,000, Manzalona PD $10,000)</t>
  </si>
  <si>
    <t>455-04-408</t>
  </si>
  <si>
    <t>320-15-335</t>
  </si>
  <si>
    <t>Kickball</t>
  </si>
  <si>
    <t>Fuel Expense - Cemetary</t>
  </si>
  <si>
    <t>Parks &amp; Rec Software</t>
  </si>
  <si>
    <t>Recreation Management Software</t>
  </si>
  <si>
    <t>Supplies - General Parks</t>
  </si>
  <si>
    <t>447-07-735</t>
  </si>
  <si>
    <t>447-07-751</t>
  </si>
  <si>
    <t>447-07-770</t>
  </si>
  <si>
    <t xml:space="preserve">Vehicle Maintenance &amp; Repair </t>
  </si>
  <si>
    <t>300-28-205</t>
  </si>
  <si>
    <t xml:space="preserve">COVID-19 Cares Act Reimbursement </t>
  </si>
  <si>
    <t xml:space="preserve">Dispatch Miscellaneous Revenue </t>
  </si>
  <si>
    <t>300-28-225</t>
  </si>
  <si>
    <t>415-04-408</t>
  </si>
  <si>
    <t>429-04-408</t>
  </si>
  <si>
    <t>Gobin Building Expenses</t>
  </si>
  <si>
    <t xml:space="preserve">Public Safety Bulding - Rent </t>
  </si>
  <si>
    <t>COVID-19 Cares Act Reimbursement</t>
  </si>
  <si>
    <t>Dispatch Miscellaneous Renenue</t>
  </si>
  <si>
    <t>Chestnut Building</t>
  </si>
  <si>
    <t>Yearly Payment ($5,000 Per Business)</t>
  </si>
  <si>
    <t>COVID-19</t>
  </si>
  <si>
    <t>410-01-110</t>
  </si>
  <si>
    <t>410-05-530</t>
  </si>
  <si>
    <t>COVID-19 Supplies</t>
  </si>
  <si>
    <t>TOTAL COVID-19</t>
  </si>
  <si>
    <t>COVID-19 - Salaries</t>
  </si>
  <si>
    <t>COVID-19 - Overtime</t>
  </si>
  <si>
    <t>410-01-115</t>
  </si>
  <si>
    <t>344-15-525</t>
  </si>
  <si>
    <t>Reprint Fee Revenue</t>
  </si>
  <si>
    <t>433-04-408</t>
  </si>
  <si>
    <t>Projected</t>
  </si>
  <si>
    <t>CAPITAL IMPROVEMENT FUND EXPENDITURES</t>
  </si>
  <si>
    <t xml:space="preserve">TOTAL CAPITAL IMPROVEMENT FUND EXPENDITURES </t>
  </si>
  <si>
    <t>TOTAL CONSERVATION TRUST FUND EXPENDITURES</t>
  </si>
  <si>
    <t>CONSERVATION TRUST FUND</t>
  </si>
  <si>
    <t>FUND: 030 - CAPITAL IMPROVEMENT FUND</t>
  </si>
  <si>
    <t>Combine With 020-433-04-413</t>
  </si>
  <si>
    <t>Combine With 020-433-04-438</t>
  </si>
  <si>
    <t xml:space="preserve">  Well Repairs</t>
  </si>
  <si>
    <t xml:space="preserve">Water Line Repair </t>
  </si>
  <si>
    <t xml:space="preserve">Meters Repair &amp; Replace </t>
  </si>
  <si>
    <t>429-04-403</t>
  </si>
  <si>
    <t>Offset Dispatch Miscellanous Revenue 010-300-28-225</t>
  </si>
  <si>
    <t>447-04-480</t>
  </si>
  <si>
    <t>433-04-465</t>
  </si>
  <si>
    <t xml:space="preserve">Copier Lease </t>
  </si>
  <si>
    <t>422-04-445</t>
  </si>
  <si>
    <t>422-04-408</t>
  </si>
  <si>
    <t>447-04-445</t>
  </si>
  <si>
    <t>Cell Phone Expnense</t>
  </si>
  <si>
    <t>426-03-315</t>
  </si>
  <si>
    <t>429-03-315</t>
  </si>
  <si>
    <t>455-03-315</t>
  </si>
  <si>
    <t>421-04-410</t>
  </si>
  <si>
    <t>Electricity 203 S 9th</t>
  </si>
  <si>
    <t>429-04-410</t>
  </si>
  <si>
    <t xml:space="preserve">Electicity 203 S 9th </t>
  </si>
  <si>
    <t>422-04-410</t>
  </si>
  <si>
    <t>423-04-410</t>
  </si>
  <si>
    <t>423-04-420</t>
  </si>
  <si>
    <t>422-04-420</t>
  </si>
  <si>
    <t>426-04-420</t>
  </si>
  <si>
    <t>421-04-420</t>
  </si>
  <si>
    <t>429-07-775</t>
  </si>
  <si>
    <t>429-07-776</t>
  </si>
  <si>
    <t xml:space="preserve">Natural Gas </t>
  </si>
  <si>
    <t>433-07-751</t>
  </si>
  <si>
    <t xml:space="preserve">Vehicle Miantenance &amp; Repairs </t>
  </si>
  <si>
    <t xml:space="preserve">Vehicle Maintenance &amp; Repairs </t>
  </si>
  <si>
    <t>2021 Vests &amp; Ammunition ($8,000 Requested)</t>
  </si>
  <si>
    <t>2021 PD Cars (2 Requested - $12,027)</t>
  </si>
  <si>
    <t>2021 Turnout Gear Replacement</t>
  </si>
  <si>
    <t>2021 Radio Replacement/Batteries</t>
  </si>
  <si>
    <t>2020 &amp; 2021 Call Back Vehicle Payments</t>
  </si>
  <si>
    <t xml:space="preserve">2021 Market Wage Increase &amp; One Additional Part Time Position </t>
  </si>
  <si>
    <t>Class A Uniforms (Requested ($3,500 X 5) $25,000)</t>
  </si>
  <si>
    <t xml:space="preserve">2020 Ambulance </t>
  </si>
  <si>
    <t>2020 New Bleachers at Arena</t>
  </si>
  <si>
    <t>2021 New Roof $-? (Never Received Quotes)</t>
  </si>
  <si>
    <t xml:space="preserve">2020 New Mower </t>
  </si>
  <si>
    <t>2021 New Water Heater</t>
  </si>
  <si>
    <t>YTD (11/30)</t>
  </si>
  <si>
    <t>Offsets Expense Account 010-426-08-851 &amp; 010-426-08-852</t>
  </si>
  <si>
    <t>2020 New Ambulance (10/90) - Offsets Revenue 010-310-24-101</t>
  </si>
  <si>
    <t>433-00-026</t>
  </si>
  <si>
    <t>421-09-960</t>
  </si>
  <si>
    <t>414-04-402</t>
  </si>
  <si>
    <t>*</t>
  </si>
  <si>
    <t>Utilities 10th Hole</t>
  </si>
  <si>
    <t>Utilities Gobin Bldg</t>
  </si>
  <si>
    <t>415-04-424</t>
  </si>
  <si>
    <t>415-04-450</t>
  </si>
  <si>
    <t>415-05-554</t>
  </si>
  <si>
    <t>Total Program Expenses</t>
  </si>
  <si>
    <t>Program Expneses</t>
  </si>
  <si>
    <t>421-04-430</t>
  </si>
  <si>
    <t>421-07-771</t>
  </si>
  <si>
    <t>421-09-900</t>
  </si>
  <si>
    <t>421-09-920</t>
  </si>
  <si>
    <t>421-09-926</t>
  </si>
  <si>
    <t>421-09-927</t>
  </si>
  <si>
    <t>421-09-928</t>
  </si>
  <si>
    <t>422-04-430</t>
  </si>
  <si>
    <t>422-04-450</t>
  </si>
  <si>
    <t>Tools &amp; Equipment</t>
  </si>
  <si>
    <t>422-05-535</t>
  </si>
  <si>
    <t>422-09-921</t>
  </si>
  <si>
    <t>422-09-925</t>
  </si>
  <si>
    <t>423-04-450</t>
  </si>
  <si>
    <t>423-09-920</t>
  </si>
  <si>
    <t>423-09-925</t>
  </si>
  <si>
    <t>426-05-535</t>
  </si>
  <si>
    <t>426-09-920</t>
  </si>
  <si>
    <t>426-09-921</t>
  </si>
  <si>
    <t>426-09-925</t>
  </si>
  <si>
    <t>Other Contracted Services</t>
  </si>
  <si>
    <t>429-05-531</t>
  </si>
  <si>
    <t>429-05-535</t>
  </si>
  <si>
    <t>429-05-554</t>
  </si>
  <si>
    <t>429-09-920</t>
  </si>
  <si>
    <t>442-05-554</t>
  </si>
  <si>
    <t>442-09-920</t>
  </si>
  <si>
    <t>2021 Mower (Requested $10,000) - CFT</t>
  </si>
  <si>
    <t>447-05-531</t>
  </si>
  <si>
    <t>Supplies - Field (Non CTF)</t>
  </si>
  <si>
    <t>447-05-554</t>
  </si>
  <si>
    <t>447-09-900</t>
  </si>
  <si>
    <t>447-09-920</t>
  </si>
  <si>
    <t>447-09-951</t>
  </si>
  <si>
    <t>447-09-984</t>
  </si>
  <si>
    <t>447-09-985</t>
  </si>
  <si>
    <t>452-04-401</t>
  </si>
  <si>
    <t>453-04-405</t>
  </si>
  <si>
    <t xml:space="preserve">Alarm System - Event Center </t>
  </si>
  <si>
    <t>453-04-417</t>
  </si>
  <si>
    <t xml:space="preserve">Utilities -Event Center </t>
  </si>
  <si>
    <t>Natural Gas - Fairgrounds</t>
  </si>
  <si>
    <t>453-07-774</t>
  </si>
  <si>
    <t>454-04-405</t>
  </si>
  <si>
    <t>454-04-425</t>
  </si>
  <si>
    <t>455-04-401</t>
  </si>
  <si>
    <t xml:space="preserve">Internet </t>
  </si>
  <si>
    <t>455-04-487</t>
  </si>
  <si>
    <t>455-09-930</t>
  </si>
  <si>
    <t>455-09-931</t>
  </si>
  <si>
    <t>455-09-932</t>
  </si>
  <si>
    <t>480-00-500</t>
  </si>
  <si>
    <t>Program Expense</t>
  </si>
  <si>
    <t>Progam Expneses</t>
  </si>
  <si>
    <t xml:space="preserve">Operating Transfer In </t>
  </si>
  <si>
    <t>Golf Course/10th Hole  Expense</t>
  </si>
  <si>
    <t>Attorney Fees</t>
  </si>
  <si>
    <t>415-04-444</t>
  </si>
  <si>
    <t>452-04-444</t>
  </si>
  <si>
    <t>426-05-536</t>
  </si>
  <si>
    <t>Combine with 070-433-05-530</t>
  </si>
  <si>
    <t>Unemployment Insurance</t>
  </si>
  <si>
    <t>415-04-418</t>
  </si>
  <si>
    <t>415-09-900</t>
  </si>
  <si>
    <t>412-04-435</t>
  </si>
  <si>
    <t>421-04-486</t>
  </si>
  <si>
    <t>Supplies Medical</t>
  </si>
  <si>
    <t>429-04-409</t>
  </si>
  <si>
    <t>452-09-940</t>
  </si>
  <si>
    <t>433-04-450</t>
  </si>
  <si>
    <t>433-03-315</t>
  </si>
  <si>
    <t>433-04-403</t>
  </si>
  <si>
    <t>433-04-404</t>
  </si>
  <si>
    <t>433-04-407</t>
  </si>
  <si>
    <t>433-04-419</t>
  </si>
  <si>
    <t>433-04-444</t>
  </si>
  <si>
    <t>433-04-467</t>
  </si>
  <si>
    <t>433-04-488</t>
  </si>
  <si>
    <t>433-04-489</t>
  </si>
  <si>
    <t>433-04-490</t>
  </si>
  <si>
    <t>Utilities - Rental House</t>
  </si>
  <si>
    <t xml:space="preserve">Other Contract Fees </t>
  </si>
  <si>
    <t>433-05-517</t>
  </si>
  <si>
    <t>433-05-534</t>
  </si>
  <si>
    <t>Supplies - Lab</t>
  </si>
  <si>
    <t>433-05-535</t>
  </si>
  <si>
    <t>433-07-777</t>
  </si>
  <si>
    <t>Rental House Expense</t>
  </si>
  <si>
    <t>Office Equipment Expense</t>
  </si>
  <si>
    <t>433-07-780</t>
  </si>
  <si>
    <t>433-07-781</t>
  </si>
  <si>
    <t>433-08-845</t>
  </si>
  <si>
    <t>433-09-901</t>
  </si>
  <si>
    <t>433-09-905</t>
  </si>
  <si>
    <t>433-09-920</t>
  </si>
  <si>
    <t>Progam Expense</t>
  </si>
  <si>
    <t>Total Program Expense</t>
  </si>
  <si>
    <t xml:space="preserve">Supplies &amp; Materials </t>
  </si>
  <si>
    <t>433-05-554</t>
  </si>
  <si>
    <t>Vehicle Miantanence &amp; Repairs</t>
  </si>
  <si>
    <t>Equipment Maintanence</t>
  </si>
  <si>
    <t xml:space="preserve">Office Expense </t>
  </si>
  <si>
    <t>433-07-783</t>
  </si>
  <si>
    <t>Sewer System Repairs</t>
  </si>
  <si>
    <t>433-09-902</t>
  </si>
  <si>
    <t>433-07-761</t>
  </si>
  <si>
    <t>433-08-960</t>
  </si>
  <si>
    <t>433-09-915</t>
  </si>
  <si>
    <t>Vehicle Maintanence &amp; Repair</t>
  </si>
  <si>
    <t>490-07-700</t>
  </si>
  <si>
    <t>490-09-930</t>
  </si>
  <si>
    <t>Senior Center - CTF</t>
  </si>
  <si>
    <t>490-07-701</t>
  </si>
  <si>
    <t>490-07-702</t>
  </si>
  <si>
    <t>490-07-703</t>
  </si>
  <si>
    <t>490-07-704</t>
  </si>
  <si>
    <t>Salaires - CTF</t>
  </si>
  <si>
    <t xml:space="preserve">2021 - 1 Seasonal Parks &amp; Rec </t>
  </si>
  <si>
    <t>2021 - 2 New Mowers</t>
  </si>
  <si>
    <t>451-04-401</t>
  </si>
  <si>
    <t>451-04-403</t>
  </si>
  <si>
    <t>451-04-404</t>
  </si>
  <si>
    <t>451-04-407</t>
  </si>
  <si>
    <t>451-04-414</t>
  </si>
  <si>
    <t>Water/Sewer/Garbage</t>
  </si>
  <si>
    <t>451-04-444</t>
  </si>
  <si>
    <t>451-04-455</t>
  </si>
  <si>
    <t>451-09-947</t>
  </si>
  <si>
    <t>451-07-735</t>
  </si>
  <si>
    <t>Equiopment Maintanence</t>
  </si>
  <si>
    <t>451-09-940</t>
  </si>
  <si>
    <t>451-09-945</t>
  </si>
  <si>
    <t>451-09-946</t>
  </si>
  <si>
    <t>451-08-850</t>
  </si>
  <si>
    <t>415-07-725</t>
  </si>
  <si>
    <t>421-07-725</t>
  </si>
  <si>
    <t>422-07-725</t>
  </si>
  <si>
    <t>Building Maintenance &amp; Repairs</t>
  </si>
  <si>
    <t>423-07-725</t>
  </si>
  <si>
    <t>429-07-725</t>
  </si>
  <si>
    <t>442-07-725</t>
  </si>
  <si>
    <t>447-07-725</t>
  </si>
  <si>
    <t>Buidling Maintenance &amp; Repairs</t>
  </si>
  <si>
    <t>452-07-725</t>
  </si>
  <si>
    <t>Equipment Purchase/Repairs</t>
  </si>
  <si>
    <t>453-07-725</t>
  </si>
  <si>
    <t>454-07-725</t>
  </si>
  <si>
    <t xml:space="preserve">Builidng Maintenance &amp; Repairs </t>
  </si>
  <si>
    <t>Builidng Maitenance &amp; Repairs</t>
  </si>
  <si>
    <t>455-07-725</t>
  </si>
  <si>
    <t>Building Mainteneane &amp; Repairs</t>
  </si>
  <si>
    <t>433-07-425</t>
  </si>
  <si>
    <t>451-07-725</t>
  </si>
  <si>
    <t xml:space="preserve">Building Maintenance &amp; Repairs </t>
  </si>
  <si>
    <t>429-07-777</t>
  </si>
  <si>
    <t>Sage Center Expense</t>
  </si>
  <si>
    <t>426-02-276</t>
  </si>
  <si>
    <t xml:space="preserve">Unemployment Insurance </t>
  </si>
  <si>
    <t>419-02-276</t>
  </si>
  <si>
    <t>421-02-276</t>
  </si>
  <si>
    <t>422-02-276</t>
  </si>
  <si>
    <t>423-02-276</t>
  </si>
  <si>
    <t>429-02-276</t>
  </si>
  <si>
    <t>442-02-276</t>
  </si>
  <si>
    <t>447-02-276</t>
  </si>
  <si>
    <t>452-02-276</t>
  </si>
  <si>
    <t>455-02-276</t>
  </si>
  <si>
    <t>454-02-276</t>
  </si>
  <si>
    <t>433-02-276</t>
  </si>
  <si>
    <t>421-04-406</t>
  </si>
  <si>
    <t xml:space="preserve">Internet Fees </t>
  </si>
  <si>
    <t>421-04-444</t>
  </si>
  <si>
    <t>422-04-406</t>
  </si>
  <si>
    <t>422-04-444</t>
  </si>
  <si>
    <t>423-04-406</t>
  </si>
  <si>
    <t>423-04-444</t>
  </si>
  <si>
    <t>426-04-406</t>
  </si>
  <si>
    <t>429-04-406</t>
  </si>
  <si>
    <t>429-04-444</t>
  </si>
  <si>
    <t>442-04-406</t>
  </si>
  <si>
    <t>442-04-444</t>
  </si>
  <si>
    <t>447-04-406</t>
  </si>
  <si>
    <t>447-04-444</t>
  </si>
  <si>
    <t>453-04-444</t>
  </si>
  <si>
    <t>454-04-444</t>
  </si>
  <si>
    <t>455-04-444</t>
  </si>
  <si>
    <t>421-02-210</t>
  </si>
  <si>
    <t>421-02-275</t>
  </si>
  <si>
    <t>421-02-278</t>
  </si>
  <si>
    <t>422-02-210</t>
  </si>
  <si>
    <t>422-02-275</t>
  </si>
  <si>
    <t>422-02-278</t>
  </si>
  <si>
    <t>Electricity - Public Safety Building</t>
  </si>
  <si>
    <t xml:space="preserve">Natural Gas - Public Safety Building </t>
  </si>
  <si>
    <t>423-02-210</t>
  </si>
  <si>
    <t>423-02-275</t>
  </si>
  <si>
    <t>423-02-278</t>
  </si>
  <si>
    <t>426-02-210</t>
  </si>
  <si>
    <t>426-02-275</t>
  </si>
  <si>
    <t>426-02-278</t>
  </si>
  <si>
    <t>Electricity - Public Safety Building &amp; Shed</t>
  </si>
  <si>
    <t>429-02-275</t>
  </si>
  <si>
    <t>429-02-278</t>
  </si>
  <si>
    <t>429-02-210</t>
  </si>
  <si>
    <t>442-02-210</t>
  </si>
  <si>
    <t>442-02-275</t>
  </si>
  <si>
    <t>442-02-278</t>
  </si>
  <si>
    <t>Electricity - Cemetary Shop &amp; House</t>
  </si>
  <si>
    <t>Natural Gas - Cemetary Shop &amp; House</t>
  </si>
  <si>
    <t>CEMETARY</t>
  </si>
  <si>
    <t>447-02-210</t>
  </si>
  <si>
    <t>447-02-275</t>
  </si>
  <si>
    <t>447-02-278</t>
  </si>
  <si>
    <t>Electricity - Babcock Park</t>
  </si>
  <si>
    <t>452-02-275</t>
  </si>
  <si>
    <t>Electricity - Swimming Pool</t>
  </si>
  <si>
    <t>Natural Gas - Swimming Pool</t>
  </si>
  <si>
    <t>Electricity - Fairgounds</t>
  </si>
  <si>
    <t>454-02-275</t>
  </si>
  <si>
    <t>Electricity - Museum</t>
  </si>
  <si>
    <t>Natural Gas - Museum</t>
  </si>
  <si>
    <t>455-02-210</t>
  </si>
  <si>
    <t>455-02-275</t>
  </si>
  <si>
    <t>455-02-278</t>
  </si>
  <si>
    <t>Electricity - Library</t>
  </si>
  <si>
    <t>Natural Gas - Library</t>
  </si>
  <si>
    <t>Mosquito Sprayer, Small Equiptment/Misc Saws-Blowers</t>
  </si>
  <si>
    <t>Trash Truck</t>
  </si>
  <si>
    <t xml:space="preserve">2021 With Anticipated 4 Vacant Officer Positons &amp; 1 Code Enforcement Position </t>
  </si>
  <si>
    <t>Moved &amp; Split Between Police Dept, Public Works &amp; Enterprise Funds</t>
  </si>
  <si>
    <t>Moved &amp; Split Between Public Works &amp; Enterprise Funds</t>
  </si>
  <si>
    <t>Moved &amp; Split Between Fire, Ambulance &amp; Dispatch</t>
  </si>
  <si>
    <t>CML, Action 22, CCMC, ICMA, Etc..</t>
  </si>
  <si>
    <t>Combined With 010-455-03-316</t>
  </si>
  <si>
    <t>Moved From 010-415-04-409</t>
  </si>
  <si>
    <t>Offsets The Surcharge Revenue Act # 335-18-106</t>
  </si>
  <si>
    <t>2020 Over Budget Due To New Console For Radios</t>
  </si>
  <si>
    <t>2021 Required Data Storage Increase Due To Senate Bill 217</t>
  </si>
  <si>
    <t xml:space="preserve">Includes $12,000 Payment To Old Hire Pension </t>
  </si>
  <si>
    <t xml:space="preserve">2020 Donation Of PTO Hours </t>
  </si>
  <si>
    <t>Starting In 2020 Only Electricticty</t>
  </si>
  <si>
    <t>Offsets The Surcharge Expesnse Act # 421-03-390</t>
  </si>
  <si>
    <t>Marijuana Excise Tax Increase From 6% to 8%</t>
  </si>
  <si>
    <t>Not Needed. Deactivate After 2020.</t>
  </si>
  <si>
    <t>Combine With 020-433-007-781</t>
  </si>
  <si>
    <t>Moved To 021-433-04-410 &amp; 021-433-04-420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</si>
</sst>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_);_(&quot;$&quot;* \(#,##0.0\);_(&quot;$&quot;* &quot;-&quot;?_);_(@_)"/>
    <numFmt numFmtId="167" formatCode="_(&quot;$&quot;* #,##0_);_(&quot;$&quot;* \(#,##0\);_(&quot;$&quot;* &quot;-&quot;?_);_(@_)"/>
    <numFmt numFmtId="168" formatCode="&quot;$&quot;#,##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5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"/>
    </font>
    <font>
      <sz val="10"/>
      <color theme="1"/>
      <name val="Arial "/>
    </font>
    <font>
      <b/>
      <sz val="10"/>
      <color rgb="FF000000"/>
      <name val="Arial "/>
    </font>
    <font>
      <sz val="10"/>
      <color theme="1"/>
      <name val="Aril"/>
    </font>
    <font>
      <b/>
      <sz val="10"/>
      <color theme="1"/>
      <name val="Aril"/>
    </font>
    <font>
      <sz val="10"/>
      <color rgb="FF000000"/>
      <name val="Ari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7">
    <xf numFmtId="0" fontId="0" fillId="0" borderId="0" xfId="0"/>
    <xf numFmtId="44" fontId="0" fillId="0" borderId="0" xfId="1" applyFont="1"/>
    <xf numFmtId="44" fontId="16" fillId="0" borderId="0" xfId="1" applyFont="1"/>
    <xf numFmtId="0" fontId="16" fillId="0" borderId="0" xfId="0" applyFont="1"/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0" xfId="0" applyNumberFormat="1"/>
    <xf numFmtId="164" fontId="0" fillId="0" borderId="10" xfId="1" applyNumberFormat="1" applyFont="1" applyBorder="1"/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16" fillId="0" borderId="0" xfId="1" applyNumberFormat="1" applyFont="1" applyAlignment="1">
      <alignment horizontal="center"/>
    </xf>
    <xf numFmtId="164" fontId="16" fillId="0" borderId="12" xfId="1" applyNumberFormat="1" applyFont="1" applyBorder="1"/>
    <xf numFmtId="164" fontId="16" fillId="0" borderId="10" xfId="1" applyNumberFormat="1" applyFont="1" applyBorder="1"/>
    <xf numFmtId="44" fontId="16" fillId="0" borderId="0" xfId="1" applyFont="1" applyAlignment="1">
      <alignment horizontal="center"/>
    </xf>
    <xf numFmtId="164" fontId="16" fillId="0" borderId="0" xfId="1" applyNumberFormat="1" applyFont="1"/>
    <xf numFmtId="0" fontId="16" fillId="0" borderId="0" xfId="0" applyFont="1" applyAlignment="1">
      <alignment horizontal="center"/>
    </xf>
    <xf numFmtId="164" fontId="16" fillId="0" borderId="0" xfId="1" applyNumberFormat="1" applyFont="1" applyBorder="1"/>
    <xf numFmtId="164" fontId="18" fillId="0" borderId="0" xfId="1" applyNumberFormat="1" applyFont="1" applyAlignment="1">
      <alignment horizontal="center"/>
    </xf>
    <xf numFmtId="0" fontId="22" fillId="0" borderId="0" xfId="0" applyFont="1"/>
    <xf numFmtId="0" fontId="18" fillId="0" borderId="0" xfId="43"/>
    <xf numFmtId="0" fontId="18" fillId="0" borderId="0" xfId="43" applyAlignment="1">
      <alignment horizontal="center"/>
    </xf>
    <xf numFmtId="0" fontId="23" fillId="0" borderId="0" xfId="0" applyFont="1"/>
    <xf numFmtId="164" fontId="23" fillId="0" borderId="0" xfId="1" applyNumberFormat="1" applyFont="1" applyAlignment="1">
      <alignment horizontal="center"/>
    </xf>
    <xf numFmtId="0" fontId="23" fillId="0" borderId="0" xfId="0" applyFont="1" applyAlignment="1">
      <alignment horizontal="center"/>
    </xf>
    <xf numFmtId="44" fontId="0" fillId="0" borderId="0" xfId="1" applyFont="1" applyAlignment="1">
      <alignment horizontal="centerContinuous"/>
    </xf>
    <xf numFmtId="0" fontId="24" fillId="0" borderId="0" xfId="0" applyFont="1"/>
    <xf numFmtId="164" fontId="1" fillId="0" borderId="0" xfId="1" applyNumberFormat="1" applyFont="1"/>
    <xf numFmtId="164" fontId="22" fillId="0" borderId="1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1" fillId="0" borderId="0" xfId="1" applyNumberFormat="1" applyFont="1" applyAlignment="1">
      <alignment horizontal="center"/>
    </xf>
    <xf numFmtId="0" fontId="16" fillId="0" borderId="0" xfId="0" applyFont="1" applyAlignment="1">
      <alignment horizontal="centerContinuous"/>
    </xf>
    <xf numFmtId="168" fontId="0" fillId="0" borderId="0" xfId="0" applyNumberFormat="1"/>
    <xf numFmtId="164" fontId="18" fillId="0" borderId="0" xfId="1" applyNumberFormat="1" applyFont="1" applyFill="1" applyAlignment="1">
      <alignment horizontal="center"/>
    </xf>
    <xf numFmtId="3" fontId="0" fillId="0" borderId="0" xfId="0" applyNumberFormat="1"/>
    <xf numFmtId="3" fontId="0" fillId="0" borderId="0" xfId="1" applyNumberFormat="1" applyFont="1"/>
    <xf numFmtId="164" fontId="16" fillId="0" borderId="0" xfId="1" applyNumberFormat="1" applyFont="1" applyFill="1" applyBorder="1"/>
    <xf numFmtId="164" fontId="18" fillId="0" borderId="0" xfId="0" applyNumberFormat="1" applyFont="1" applyAlignment="1">
      <alignment vertical="top" shrinkToFit="1"/>
    </xf>
    <xf numFmtId="164" fontId="23" fillId="0" borderId="0" xfId="1" applyNumberFormat="1" applyFont="1" applyFill="1" applyAlignment="1">
      <alignment horizontal="center"/>
    </xf>
    <xf numFmtId="164" fontId="18" fillId="0" borderId="0" xfId="0" applyNumberFormat="1" applyFont="1" applyAlignment="1">
      <alignment shrinkToFit="1"/>
    </xf>
    <xf numFmtId="0" fontId="21" fillId="0" borderId="0" xfId="43" applyFont="1" applyAlignment="1">
      <alignment horizontal="center" wrapText="1"/>
    </xf>
    <xf numFmtId="164" fontId="0" fillId="0" borderId="0" xfId="1" applyNumberFormat="1" applyFont="1" applyFill="1" applyAlignment="1"/>
    <xf numFmtId="0" fontId="21" fillId="0" borderId="0" xfId="43" applyFont="1"/>
    <xf numFmtId="164" fontId="16" fillId="0" borderId="0" xfId="1" applyNumberFormat="1" applyFont="1" applyFill="1" applyBorder="1" applyAlignment="1"/>
    <xf numFmtId="0" fontId="21" fillId="0" borderId="0" xfId="43" applyFont="1" applyAlignment="1">
      <alignment horizontal="left"/>
    </xf>
    <xf numFmtId="4" fontId="23" fillId="0" borderId="0" xfId="0" applyNumberFormat="1" applyFont="1"/>
    <xf numFmtId="44" fontId="22" fillId="0" borderId="0" xfId="1" applyFont="1" applyAlignment="1"/>
    <xf numFmtId="0" fontId="22" fillId="0" borderId="0" xfId="1" applyNumberFormat="1" applyFont="1" applyAlignment="1">
      <alignment horizontal="center"/>
    </xf>
    <xf numFmtId="49" fontId="22" fillId="0" borderId="0" xfId="1" applyNumberFormat="1" applyFont="1" applyAlignment="1">
      <alignment horizontal="center"/>
    </xf>
    <xf numFmtId="0" fontId="22" fillId="0" borderId="0" xfId="0" applyFont="1" applyAlignment="1">
      <alignment horizontal="center"/>
    </xf>
    <xf numFmtId="44" fontId="22" fillId="0" borderId="0" xfId="1" applyFont="1" applyAlignment="1">
      <alignment horizontal="center"/>
    </xf>
    <xf numFmtId="4" fontId="22" fillId="0" borderId="0" xfId="1" applyNumberFormat="1" applyFont="1" applyAlignment="1">
      <alignment horizontal="center"/>
    </xf>
    <xf numFmtId="44" fontId="23" fillId="0" borderId="0" xfId="1" applyFont="1" applyAlignment="1"/>
    <xf numFmtId="164" fontId="23" fillId="0" borderId="0" xfId="1" applyNumberFormat="1" applyFont="1" applyAlignment="1"/>
    <xf numFmtId="164" fontId="23" fillId="0" borderId="0" xfId="1" applyNumberFormat="1" applyFont="1" applyBorder="1" applyAlignment="1"/>
    <xf numFmtId="164" fontId="22" fillId="0" borderId="10" xfId="1" applyNumberFormat="1" applyFont="1" applyBorder="1" applyAlignment="1"/>
    <xf numFmtId="164" fontId="22" fillId="0" borderId="10" xfId="0" applyNumberFormat="1" applyFont="1" applyBorder="1"/>
    <xf numFmtId="164" fontId="21" fillId="0" borderId="10" xfId="0" applyNumberFormat="1" applyFont="1" applyBorder="1" applyAlignment="1">
      <alignment shrinkToFit="1"/>
    </xf>
    <xf numFmtId="164" fontId="22" fillId="0" borderId="0" xfId="1" applyNumberFormat="1" applyFont="1" applyBorder="1" applyAlignment="1"/>
    <xf numFmtId="164" fontId="23" fillId="0" borderId="0" xfId="0" applyNumberFormat="1" applyFont="1"/>
    <xf numFmtId="164" fontId="23" fillId="0" borderId="0" xfId="1" applyNumberFormat="1" applyFont="1" applyFill="1" applyAlignment="1"/>
    <xf numFmtId="164" fontId="23" fillId="0" borderId="0" xfId="0" applyNumberFormat="1" applyFont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164" fontId="22" fillId="0" borderId="10" xfId="0" applyNumberFormat="1" applyFont="1" applyBorder="1" applyAlignment="1">
      <alignment horizontal="right"/>
    </xf>
    <xf numFmtId="164" fontId="23" fillId="0" borderId="10" xfId="0" applyNumberFormat="1" applyFont="1" applyBorder="1"/>
    <xf numFmtId="164" fontId="22" fillId="0" borderId="0" xfId="1" applyNumberFormat="1" applyFont="1" applyAlignment="1"/>
    <xf numFmtId="168" fontId="23" fillId="0" borderId="0" xfId="0" applyNumberFormat="1" applyFont="1"/>
    <xf numFmtId="0" fontId="25" fillId="0" borderId="0" xfId="0" applyFont="1"/>
    <xf numFmtId="165" fontId="25" fillId="0" borderId="0" xfId="0" applyNumberFormat="1" applyFont="1" applyAlignment="1">
      <alignment horizontal="center"/>
    </xf>
    <xf numFmtId="0" fontId="22" fillId="0" borderId="0" xfId="0" applyFont="1" applyAlignment="1">
      <alignment wrapText="1"/>
    </xf>
    <xf numFmtId="0" fontId="18" fillId="0" borderId="0" xfId="43" applyAlignment="1">
      <alignment horizontal="left" indent="1"/>
    </xf>
    <xf numFmtId="0" fontId="23" fillId="0" borderId="0" xfId="0" applyFont="1" applyAlignment="1">
      <alignment horizontal="left" indent="1"/>
    </xf>
    <xf numFmtId="0" fontId="23" fillId="33" borderId="0" xfId="0" applyFont="1" applyFill="1" applyAlignment="1">
      <alignment horizontal="left" indent="1"/>
    </xf>
    <xf numFmtId="164" fontId="22" fillId="0" borderId="13" xfId="1" applyNumberFormat="1" applyFont="1" applyBorder="1" applyAlignment="1"/>
    <xf numFmtId="164" fontId="22" fillId="0" borderId="13" xfId="0" applyNumberFormat="1" applyFont="1" applyBorder="1"/>
    <xf numFmtId="164" fontId="22" fillId="0" borderId="10" xfId="1" applyNumberFormat="1" applyFont="1" applyBorder="1" applyAlignment="1">
      <alignment horizontal="center"/>
    </xf>
    <xf numFmtId="164" fontId="22" fillId="0" borderId="10" xfId="1" applyNumberFormat="1" applyFont="1" applyFill="1" applyBorder="1" applyAlignment="1">
      <alignment horizontal="center"/>
    </xf>
    <xf numFmtId="44" fontId="22" fillId="0" borderId="0" xfId="1" applyFont="1"/>
    <xf numFmtId="164" fontId="23" fillId="0" borderId="0" xfId="1" applyNumberFormat="1" applyFont="1"/>
    <xf numFmtId="164" fontId="22" fillId="0" borderId="10" xfId="1" applyNumberFormat="1" applyFont="1" applyBorder="1"/>
    <xf numFmtId="164" fontId="22" fillId="0" borderId="0" xfId="1" applyNumberFormat="1" applyFont="1"/>
    <xf numFmtId="164" fontId="23" fillId="0" borderId="0" xfId="1" applyNumberFormat="1" applyFont="1" applyFill="1"/>
    <xf numFmtId="44" fontId="23" fillId="0" borderId="0" xfId="1" applyFont="1"/>
    <xf numFmtId="164" fontId="18" fillId="0" borderId="0" xfId="1" applyNumberFormat="1" applyFont="1" applyFill="1" applyBorder="1" applyAlignment="1">
      <alignment horizontal="center"/>
    </xf>
    <xf numFmtId="164" fontId="22" fillId="0" borderId="0" xfId="1" applyNumberFormat="1" applyFont="1" applyBorder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0" fontId="28" fillId="0" borderId="0" xfId="0" applyFont="1"/>
    <xf numFmtId="164" fontId="22" fillId="0" borderId="13" xfId="1" applyNumberFormat="1" applyFont="1" applyBorder="1"/>
    <xf numFmtId="164" fontId="23" fillId="0" borderId="12" xfId="1" applyNumberFormat="1" applyFont="1" applyBorder="1"/>
    <xf numFmtId="164" fontId="22" fillId="0" borderId="11" xfId="1" applyNumberFormat="1" applyFont="1" applyBorder="1"/>
    <xf numFmtId="164" fontId="23" fillId="0" borderId="0" xfId="1" applyNumberFormat="1" applyFont="1" applyBorder="1"/>
    <xf numFmtId="164" fontId="22" fillId="0" borderId="0" xfId="1" applyNumberFormat="1" applyFont="1" applyBorder="1"/>
    <xf numFmtId="4" fontId="16" fillId="0" borderId="0" xfId="0" applyNumberFormat="1" applyFont="1"/>
    <xf numFmtId="164" fontId="20" fillId="0" borderId="0" xfId="1" applyNumberFormat="1" applyFont="1" applyFill="1" applyAlignment="1">
      <alignment horizontal="center"/>
    </xf>
    <xf numFmtId="44" fontId="23" fillId="0" borderId="0" xfId="1" applyFont="1" applyFill="1" applyAlignment="1">
      <alignment wrapText="1"/>
    </xf>
    <xf numFmtId="44" fontId="23" fillId="0" borderId="0" xfId="1" applyFont="1" applyFill="1"/>
    <xf numFmtId="44" fontId="18" fillId="0" borderId="0" xfId="1" applyFont="1" applyFill="1"/>
    <xf numFmtId="44" fontId="0" fillId="0" borderId="0" xfId="0" applyNumberFormat="1"/>
    <xf numFmtId="44" fontId="0" fillId="0" borderId="0" xfId="1" applyFont="1" applyFill="1"/>
    <xf numFmtId="0" fontId="1" fillId="0" borderId="0" xfId="0" applyFont="1"/>
    <xf numFmtId="0" fontId="20" fillId="0" borderId="0" xfId="0" applyFont="1"/>
    <xf numFmtId="0" fontId="20" fillId="0" borderId="0" xfId="0" applyFont="1" applyAlignment="1">
      <alignment horizontal="left" indent="3"/>
    </xf>
    <xf numFmtId="164" fontId="18" fillId="0" borderId="0" xfId="1" applyNumberFormat="1" applyFont="1" applyFill="1" applyAlignment="1">
      <alignment vertical="top" shrinkToFit="1"/>
    </xf>
    <xf numFmtId="164" fontId="23" fillId="0" borderId="0" xfId="1" applyNumberFormat="1" applyFont="1" applyFill="1" applyBorder="1" applyAlignment="1"/>
    <xf numFmtId="164" fontId="22" fillId="0" borderId="10" xfId="1" applyNumberFormat="1" applyFont="1" applyFill="1" applyBorder="1" applyAlignment="1"/>
    <xf numFmtId="164" fontId="22" fillId="0" borderId="14" xfId="1" applyNumberFormat="1" applyFont="1" applyBorder="1"/>
    <xf numFmtId="0" fontId="23" fillId="0" borderId="0" xfId="0" applyFont="1" applyAlignment="1">
      <alignment horizontal="left" indent="3"/>
    </xf>
    <xf numFmtId="0" fontId="18" fillId="0" borderId="0" xfId="43" applyAlignment="1">
      <alignment horizontal="left" indent="3"/>
    </xf>
    <xf numFmtId="164" fontId="18" fillId="0" borderId="0" xfId="1" applyNumberFormat="1" applyFont="1" applyFill="1"/>
    <xf numFmtId="0" fontId="22" fillId="0" borderId="0" xfId="0" applyFont="1" applyAlignment="1">
      <alignment vertical="center" wrapText="1"/>
    </xf>
    <xf numFmtId="0" fontId="29" fillId="0" borderId="0" xfId="0" applyFont="1"/>
    <xf numFmtId="44" fontId="29" fillId="0" borderId="0" xfId="1" applyFont="1" applyAlignment="1"/>
    <xf numFmtId="4" fontId="30" fillId="0" borderId="0" xfId="0" applyNumberFormat="1" applyFont="1"/>
    <xf numFmtId="0" fontId="29" fillId="0" borderId="0" xfId="1" applyNumberFormat="1" applyFont="1" applyAlignment="1">
      <alignment horizontal="center"/>
    </xf>
    <xf numFmtId="0" fontId="31" fillId="0" borderId="0" xfId="43" applyFont="1" applyAlignment="1">
      <alignment horizontal="center" wrapText="1"/>
    </xf>
    <xf numFmtId="49" fontId="29" fillId="0" borderId="0" xfId="1" applyNumberFormat="1" applyFont="1" applyAlignment="1">
      <alignment horizontal="center"/>
    </xf>
    <xf numFmtId="0" fontId="29" fillId="0" borderId="0" xfId="0" applyFont="1" applyAlignment="1">
      <alignment horizontal="center"/>
    </xf>
    <xf numFmtId="44" fontId="29" fillId="0" borderId="0" xfId="1" applyFont="1" applyAlignment="1">
      <alignment horizontal="center"/>
    </xf>
    <xf numFmtId="4" fontId="29" fillId="0" borderId="0" xfId="1" applyNumberFormat="1" applyFont="1" applyAlignment="1">
      <alignment horizontal="center"/>
    </xf>
    <xf numFmtId="0" fontId="30" fillId="0" borderId="0" xfId="0" applyFont="1"/>
    <xf numFmtId="164" fontId="30" fillId="0" borderId="0" xfId="1" applyNumberFormat="1" applyFont="1"/>
    <xf numFmtId="164" fontId="29" fillId="0" borderId="10" xfId="1" applyNumberFormat="1" applyFont="1" applyBorder="1"/>
    <xf numFmtId="164" fontId="30" fillId="0" borderId="10" xfId="0" applyNumberFormat="1" applyFont="1" applyBorder="1"/>
    <xf numFmtId="164" fontId="29" fillId="0" borderId="0" xfId="1" applyNumberFormat="1" applyFont="1"/>
    <xf numFmtId="44" fontId="30" fillId="0" borderId="0" xfId="1" applyFont="1"/>
    <xf numFmtId="0" fontId="30" fillId="0" borderId="0" xfId="0" applyFont="1" applyAlignment="1">
      <alignment horizontal="left" indent="1"/>
    </xf>
    <xf numFmtId="164" fontId="30" fillId="0" borderId="0" xfId="1" applyNumberFormat="1" applyFont="1" applyAlignment="1">
      <alignment horizontal="right"/>
    </xf>
    <xf numFmtId="164" fontId="29" fillId="0" borderId="13" xfId="0" applyNumberFormat="1" applyFont="1" applyBorder="1"/>
    <xf numFmtId="44" fontId="23" fillId="0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164" fontId="23" fillId="0" borderId="10" xfId="1" applyNumberFormat="1" applyFont="1" applyBorder="1" applyAlignment="1">
      <alignment horizontal="center"/>
    </xf>
    <xf numFmtId="164" fontId="23" fillId="0" borderId="10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3" fillId="0" borderId="10" xfId="1" applyNumberFormat="1" applyFont="1" applyBorder="1"/>
    <xf numFmtId="164" fontId="22" fillId="0" borderId="0" xfId="0" applyNumberFormat="1" applyFont="1" applyAlignment="1">
      <alignment horizontal="center"/>
    </xf>
    <xf numFmtId="0" fontId="32" fillId="0" borderId="0" xfId="0" applyFont="1"/>
    <xf numFmtId="44" fontId="33" fillId="0" borderId="0" xfId="1" applyFont="1" applyAlignment="1">
      <alignment horizontal="center"/>
    </xf>
    <xf numFmtId="4" fontId="33" fillId="0" borderId="0" xfId="1" applyNumberFormat="1" applyFont="1" applyAlignment="1">
      <alignment horizontal="center"/>
    </xf>
    <xf numFmtId="0" fontId="33" fillId="0" borderId="0" xfId="0" applyFont="1"/>
    <xf numFmtId="0" fontId="34" fillId="0" borderId="0" xfId="43" applyFont="1"/>
    <xf numFmtId="0" fontId="34" fillId="0" borderId="0" xfId="43" applyFont="1" applyAlignment="1">
      <alignment horizontal="center"/>
    </xf>
    <xf numFmtId="0" fontId="32" fillId="0" borderId="0" xfId="0" applyFont="1" applyAlignment="1">
      <alignment horizontal="center"/>
    </xf>
    <xf numFmtId="164" fontId="32" fillId="0" borderId="0" xfId="1" applyNumberFormat="1" applyFont="1" applyAlignment="1">
      <alignment horizontal="center"/>
    </xf>
    <xf numFmtId="164" fontId="32" fillId="0" borderId="0" xfId="1" applyNumberFormat="1" applyFont="1" applyBorder="1" applyAlignment="1">
      <alignment horizontal="center"/>
    </xf>
    <xf numFmtId="166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left" indent="1"/>
    </xf>
    <xf numFmtId="164" fontId="33" fillId="0" borderId="10" xfId="0" applyNumberFormat="1" applyFont="1" applyBorder="1" applyAlignment="1">
      <alignment horizontal="center"/>
    </xf>
    <xf numFmtId="164" fontId="33" fillId="0" borderId="0" xfId="0" applyNumberFormat="1" applyFont="1" applyAlignment="1">
      <alignment horizontal="center"/>
    </xf>
    <xf numFmtId="164" fontId="33" fillId="0" borderId="10" xfId="1" applyNumberFormat="1" applyFont="1" applyBorder="1" applyAlignment="1">
      <alignment horizontal="center"/>
    </xf>
    <xf numFmtId="164" fontId="33" fillId="0" borderId="0" xfId="1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 indent="1"/>
    </xf>
    <xf numFmtId="0" fontId="32" fillId="0" borderId="0" xfId="0" applyFont="1" applyAlignment="1">
      <alignment horizontal="left" indent="2"/>
    </xf>
    <xf numFmtId="167" fontId="33" fillId="0" borderId="10" xfId="0" applyNumberFormat="1" applyFont="1" applyBorder="1" applyAlignment="1">
      <alignment horizontal="center"/>
    </xf>
    <xf numFmtId="167" fontId="33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44" fontId="22" fillId="0" borderId="0" xfId="1" applyFont="1" applyFill="1" applyAlignment="1"/>
    <xf numFmtId="44" fontId="24" fillId="0" borderId="0" xfId="1" applyFont="1" applyFill="1"/>
    <xf numFmtId="0" fontId="22" fillId="0" borderId="0" xfId="1" applyNumberFormat="1" applyFont="1" applyFill="1" applyAlignment="1">
      <alignment horizontal="center"/>
    </xf>
    <xf numFmtId="49" fontId="22" fillId="0" borderId="0" xfId="1" applyNumberFormat="1" applyFont="1" applyFill="1" applyAlignment="1">
      <alignment horizontal="center"/>
    </xf>
    <xf numFmtId="44" fontId="22" fillId="0" borderId="0" xfId="1" applyFont="1" applyFill="1" applyAlignment="1">
      <alignment horizontal="left" wrapText="1"/>
    </xf>
    <xf numFmtId="0" fontId="21" fillId="0" borderId="0" xfId="43" applyFont="1" applyAlignment="1">
      <alignment wrapText="1"/>
    </xf>
    <xf numFmtId="44" fontId="22" fillId="0" borderId="0" xfId="1" applyFont="1" applyFill="1" applyAlignment="1">
      <alignment horizontal="center"/>
    </xf>
    <xf numFmtId="4" fontId="22" fillId="0" borderId="0" xfId="1" applyNumberFormat="1" applyFont="1" applyFill="1" applyAlignment="1">
      <alignment horizontal="center"/>
    </xf>
    <xf numFmtId="44" fontId="22" fillId="0" borderId="0" xfId="1" applyFont="1" applyFill="1"/>
    <xf numFmtId="0" fontId="16" fillId="0" borderId="0" xfId="0" applyFont="1" applyAlignment="1">
      <alignment wrapText="1"/>
    </xf>
    <xf numFmtId="44" fontId="21" fillId="0" borderId="0" xfId="1" applyFont="1" applyFill="1" applyAlignment="1">
      <alignment horizontal="left"/>
    </xf>
    <xf numFmtId="164" fontId="21" fillId="0" borderId="10" xfId="1" applyNumberFormat="1" applyFont="1" applyFill="1" applyBorder="1" applyAlignment="1">
      <alignment horizontal="center"/>
    </xf>
    <xf numFmtId="44" fontId="18" fillId="0" borderId="0" xfId="1" applyFont="1" applyFill="1" applyAlignment="1">
      <alignment horizontal="center"/>
    </xf>
    <xf numFmtId="164" fontId="21" fillId="0" borderId="0" xfId="1" applyNumberFormat="1" applyFont="1" applyFill="1" applyBorder="1" applyAlignment="1">
      <alignment horizontal="center"/>
    </xf>
    <xf numFmtId="44" fontId="18" fillId="0" borderId="0" xfId="1" applyFont="1" applyFill="1" applyBorder="1" applyAlignment="1">
      <alignment horizontal="center"/>
    </xf>
    <xf numFmtId="164" fontId="21" fillId="0" borderId="10" xfId="43" applyNumberFormat="1" applyFont="1" applyBorder="1" applyAlignment="1">
      <alignment horizontal="center"/>
    </xf>
    <xf numFmtId="164" fontId="18" fillId="0" borderId="10" xfId="1" applyNumberFormat="1" applyFont="1" applyFill="1" applyBorder="1" applyAlignment="1">
      <alignment horizontal="center"/>
    </xf>
    <xf numFmtId="44" fontId="16" fillId="0" borderId="0" xfId="1" applyFont="1" applyFill="1"/>
    <xf numFmtId="164" fontId="18" fillId="0" borderId="0" xfId="43" applyNumberFormat="1" applyAlignment="1">
      <alignment horizontal="center"/>
    </xf>
    <xf numFmtId="0" fontId="23" fillId="0" borderId="0" xfId="43" applyFont="1"/>
    <xf numFmtId="164" fontId="20" fillId="0" borderId="10" xfId="1" applyNumberFormat="1" applyFont="1" applyFill="1" applyBorder="1" applyAlignment="1">
      <alignment horizontal="center"/>
    </xf>
    <xf numFmtId="164" fontId="26" fillId="0" borderId="10" xfId="1" applyNumberFormat="1" applyFont="1" applyFill="1" applyBorder="1" applyAlignment="1">
      <alignment horizontal="center"/>
    </xf>
    <xf numFmtId="44" fontId="21" fillId="0" borderId="0" xfId="1" applyFont="1" applyFill="1"/>
    <xf numFmtId="44" fontId="20" fillId="0" borderId="0" xfId="1" applyFont="1" applyFill="1" applyAlignment="1">
      <alignment horizontal="center"/>
    </xf>
    <xf numFmtId="0" fontId="18" fillId="0" borderId="0" xfId="43" applyAlignment="1">
      <alignment horizontal="left"/>
    </xf>
    <xf numFmtId="44" fontId="18" fillId="0" borderId="0" xfId="1" applyFont="1" applyFill="1" applyAlignment="1">
      <alignment wrapText="1"/>
    </xf>
    <xf numFmtId="3" fontId="19" fillId="0" borderId="0" xfId="43" applyNumberFormat="1" applyFont="1" applyAlignment="1">
      <alignment horizontal="center"/>
    </xf>
    <xf numFmtId="3" fontId="18" fillId="0" borderId="0" xfId="43" applyNumberFormat="1" applyAlignment="1">
      <alignment horizontal="center"/>
    </xf>
    <xf numFmtId="3" fontId="18" fillId="0" borderId="0" xfId="43" applyNumberFormat="1"/>
    <xf numFmtId="164" fontId="18" fillId="0" borderId="10" xfId="43" applyNumberFormat="1" applyBorder="1" applyAlignment="1">
      <alignment horizontal="center"/>
    </xf>
    <xf numFmtId="164" fontId="21" fillId="0" borderId="0" xfId="43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164" fontId="23" fillId="0" borderId="0" xfId="1" applyNumberFormat="1" applyFont="1" applyFill="1" applyBorder="1" applyAlignment="1">
      <alignment horizontal="center"/>
    </xf>
    <xf numFmtId="0" fontId="22" fillId="0" borderId="0" xfId="0" applyFont="1" applyAlignment="1">
      <alignment horizontal="left" indent="1"/>
    </xf>
    <xf numFmtId="164" fontId="23" fillId="0" borderId="12" xfId="1" applyNumberFormat="1" applyFont="1" applyFill="1" applyBorder="1" applyAlignment="1">
      <alignment horizontal="center"/>
    </xf>
    <xf numFmtId="164" fontId="22" fillId="0" borderId="0" xfId="1" applyNumberFormat="1" applyFont="1" applyFill="1" applyBorder="1" applyAlignment="1">
      <alignment horizontal="center"/>
    </xf>
    <xf numFmtId="0" fontId="21" fillId="0" borderId="0" xfId="43" applyFont="1" applyAlignment="1">
      <alignment horizontal="left" indent="1"/>
    </xf>
    <xf numFmtId="164" fontId="23" fillId="0" borderId="0" xfId="1" applyNumberFormat="1" applyFont="1" applyAlignment="1">
      <alignment horizontal="left"/>
    </xf>
    <xf numFmtId="44" fontId="23" fillId="0" borderId="0" xfId="1" applyFont="1" applyFill="1" applyAlignment="1">
      <alignment horizontal="left" wrapText="1"/>
    </xf>
    <xf numFmtId="164" fontId="22" fillId="0" borderId="0" xfId="1" applyNumberFormat="1" applyFont="1" applyAlignment="1">
      <alignment horizontal="center"/>
    </xf>
    <xf numFmtId="164" fontId="18" fillId="0" borderId="12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4" fontId="22" fillId="0" borderId="0" xfId="1" applyNumberFormat="1" applyFont="1" applyFill="1" applyBorder="1"/>
    <xf numFmtId="164" fontId="22" fillId="0" borderId="14" xfId="1" applyNumberFormat="1" applyFont="1" applyFill="1" applyBorder="1"/>
    <xf numFmtId="0" fontId="22" fillId="0" borderId="0" xfId="0" applyFont="1" applyAlignment="1">
      <alignment horizontal="center"/>
    </xf>
    <xf numFmtId="0" fontId="21" fillId="0" borderId="0" xfId="43" applyFont="1" applyAlignment="1">
      <alignment horizontal="left" indent="1"/>
    </xf>
    <xf numFmtId="0" fontId="21" fillId="0" borderId="0" xfId="43" applyFont="1" applyAlignment="1">
      <alignment horizontal="left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2" fillId="0" borderId="0" xfId="0" applyFont="1" applyAlignment="1">
      <alignment horizontal="left" indent="2"/>
    </xf>
    <xf numFmtId="0" fontId="21" fillId="0" borderId="0" xfId="0" applyFont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00FF"/>
      <color rgb="FFFF99FF"/>
      <color rgb="FFEC80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allace/Desktop/2019%20BUDGET/REVISED%20BUDGET%202019%20-%20Rocky%20Fo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Summary - GF"/>
      <sheetName val="Worksheet - GF (10)"/>
      <sheetName val="Summary - Water"/>
      <sheetName val="Worksheet - Water Fund (20)"/>
      <sheetName val="Summary - Sewer Fund"/>
      <sheetName val="Worksheet - Sewer Fund (21)"/>
      <sheetName val="Summary - Garbage Fund"/>
      <sheetName val="Worksheet - Garbage Fund (22)"/>
      <sheetName val="Summary - CIP Fund"/>
      <sheetName val="Worksheet - CIP Fund (30)"/>
      <sheetName val="Summary - CTF"/>
      <sheetName val="Worksheet - CTF (80)"/>
      <sheetName val="Summary - PS Bldg Fund"/>
      <sheetName val="Summary - Grand Theater"/>
      <sheetName val="Worksheet - Grand Theater (70)"/>
      <sheetName val="Summary - Monument Maint."/>
      <sheetName val="Summary - CD (110)"/>
      <sheetName val="Summary - Gobin (12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1">
          <cell r="E31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0"/>
  <sheetViews>
    <sheetView workbookViewId="0">
      <pane ySplit="5" topLeftCell="A132" activePane="bottomLeft" state="frozen"/>
      <selection pane="bottomLeft" activeCell="G283" sqref="G283"/>
    </sheetView>
  </sheetViews>
  <sheetFormatPr defaultRowHeight="15"/>
  <cols>
    <col min="1" max="1" width="42.140625" style="21" bestFit="1" customWidth="1"/>
    <col min="2" max="3" width="15.7109375" style="51" customWidth="1"/>
    <col min="4" max="4" width="17.42578125" style="51" bestFit="1" customWidth="1"/>
    <col min="5" max="6" width="15.7109375" style="51" customWidth="1"/>
    <col min="7" max="7" width="15.7109375" style="44" customWidth="1"/>
    <col min="8" max="8" width="36.28515625" customWidth="1"/>
    <col min="9" max="9" width="10" bestFit="1" customWidth="1"/>
    <col min="11" max="11" width="11" customWidth="1"/>
  </cols>
  <sheetData>
    <row r="1" spans="1:7">
      <c r="A1" s="200" t="s">
        <v>41</v>
      </c>
      <c r="B1" s="200"/>
      <c r="C1" s="200"/>
      <c r="D1" s="200"/>
      <c r="E1" s="200"/>
      <c r="F1" s="200"/>
      <c r="G1" s="200"/>
    </row>
    <row r="2" spans="1:7">
      <c r="A2" s="200" t="s">
        <v>23</v>
      </c>
      <c r="B2" s="200"/>
      <c r="C2" s="200"/>
      <c r="D2" s="200"/>
      <c r="E2" s="200"/>
      <c r="F2" s="200"/>
      <c r="G2" s="200"/>
    </row>
    <row r="3" spans="1:7" s="25" customFormat="1" ht="12.75">
      <c r="A3" s="18" t="s">
        <v>13</v>
      </c>
      <c r="B3" s="45" t="s">
        <v>13</v>
      </c>
      <c r="C3" s="45" t="s">
        <v>13</v>
      </c>
      <c r="D3" s="45"/>
      <c r="E3" s="45" t="s">
        <v>13</v>
      </c>
      <c r="F3" s="45" t="s">
        <v>13</v>
      </c>
      <c r="G3" s="44"/>
    </row>
    <row r="4" spans="1:7">
      <c r="A4" s="18"/>
      <c r="B4" s="46">
        <v>2019</v>
      </c>
      <c r="C4" s="46">
        <v>2020</v>
      </c>
      <c r="D4" s="46">
        <v>2020</v>
      </c>
      <c r="E4" s="39">
        <v>2020</v>
      </c>
      <c r="F4" s="39">
        <v>2020</v>
      </c>
      <c r="G4" s="47" t="s">
        <v>958</v>
      </c>
    </row>
    <row r="5" spans="1:7">
      <c r="A5" s="48" t="s">
        <v>749</v>
      </c>
      <c r="B5" s="49" t="s">
        <v>716</v>
      </c>
      <c r="C5" s="49" t="s">
        <v>747</v>
      </c>
      <c r="D5" s="49" t="s">
        <v>748</v>
      </c>
      <c r="E5" s="49" t="s">
        <v>1048</v>
      </c>
      <c r="F5" s="49" t="s">
        <v>789</v>
      </c>
      <c r="G5" s="50" t="s">
        <v>718</v>
      </c>
    </row>
    <row r="6" spans="1:7">
      <c r="A6" s="18" t="s">
        <v>750</v>
      </c>
      <c r="B6" s="45"/>
      <c r="C6" s="45"/>
      <c r="D6" s="45"/>
      <c r="E6" s="45"/>
      <c r="F6" s="45"/>
    </row>
    <row r="7" spans="1:7">
      <c r="A7" s="18"/>
      <c r="B7" s="45"/>
      <c r="C7" s="45"/>
      <c r="D7" s="45"/>
      <c r="E7" s="45"/>
      <c r="F7" s="45"/>
    </row>
    <row r="8" spans="1:7">
      <c r="A8" s="18" t="s">
        <v>723</v>
      </c>
    </row>
    <row r="9" spans="1:7">
      <c r="A9" s="69" t="s">
        <v>43</v>
      </c>
      <c r="B9" s="52">
        <v>274158.77</v>
      </c>
      <c r="C9" s="17">
        <f>'Worksheet - General Fund (010)'!E9</f>
        <v>275000</v>
      </c>
      <c r="D9" s="17">
        <f>'Worksheet - General Fund (010)'!F9</f>
        <v>0</v>
      </c>
      <c r="E9" s="17">
        <f>'Worksheet - General Fund (010)'!G9</f>
        <v>276341.37</v>
      </c>
      <c r="F9" s="17">
        <f>'Worksheet - General Fund (010)'!H9</f>
        <v>301463.31272727274</v>
      </c>
      <c r="G9" s="17">
        <f>'Worksheet - General Fund (010)'!I9</f>
        <v>275000</v>
      </c>
    </row>
    <row r="10" spans="1:7">
      <c r="A10" s="69" t="s">
        <v>46</v>
      </c>
      <c r="B10" s="52">
        <v>63924.08</v>
      </c>
      <c r="C10" s="17">
        <f>'Worksheet - General Fund (010)'!E10</f>
        <v>60000</v>
      </c>
      <c r="D10" s="17">
        <f>'Worksheet - General Fund (010)'!F10</f>
        <v>0</v>
      </c>
      <c r="E10" s="17">
        <f>'Worksheet - General Fund (010)'!G10</f>
        <v>57137.09</v>
      </c>
      <c r="F10" s="17">
        <f>'Worksheet - General Fund (010)'!H10</f>
        <v>62331.370909090903</v>
      </c>
      <c r="G10" s="17">
        <f>'Worksheet - General Fund (010)'!I10</f>
        <v>60000</v>
      </c>
    </row>
    <row r="11" spans="1:7">
      <c r="A11" s="69" t="s">
        <v>39</v>
      </c>
      <c r="B11" s="52">
        <v>1013090.53</v>
      </c>
      <c r="C11" s="17">
        <f>'Worksheet - General Fund (010)'!E11</f>
        <v>900000</v>
      </c>
      <c r="D11" s="17">
        <f>'Worksheet - General Fund (010)'!F11</f>
        <v>0</v>
      </c>
      <c r="E11" s="17">
        <f>'Worksheet - General Fund (010)'!G11</f>
        <v>1079441.45</v>
      </c>
      <c r="F11" s="17">
        <f>'Worksheet - General Fund (010)'!H11</f>
        <v>1177572.490909091</v>
      </c>
      <c r="G11" s="17">
        <f>'Worksheet - General Fund (010)'!I11</f>
        <v>1200000</v>
      </c>
    </row>
    <row r="12" spans="1:7">
      <c r="A12" s="69" t="s">
        <v>49</v>
      </c>
      <c r="B12" s="52">
        <v>5569</v>
      </c>
      <c r="C12" s="17">
        <f>'Worksheet - General Fund (010)'!E12</f>
        <v>5500</v>
      </c>
      <c r="D12" s="17">
        <f>'Worksheet - General Fund (010)'!F12</f>
        <v>0</v>
      </c>
      <c r="E12" s="17">
        <f>'Worksheet - General Fund (010)'!G12</f>
        <v>210</v>
      </c>
      <c r="F12" s="17">
        <f>'Worksheet - General Fund (010)'!H12</f>
        <v>229.09090909090907</v>
      </c>
      <c r="G12" s="17">
        <f>'Worksheet - General Fund (010)'!I12</f>
        <v>5500</v>
      </c>
    </row>
    <row r="13" spans="1:7">
      <c r="A13" s="69" t="s">
        <v>51</v>
      </c>
      <c r="B13" s="53">
        <v>3000</v>
      </c>
      <c r="C13" s="17">
        <f>'Worksheet - General Fund (010)'!E13</f>
        <v>1800</v>
      </c>
      <c r="D13" s="17">
        <f>'Worksheet - General Fund (010)'!F13</f>
        <v>0</v>
      </c>
      <c r="E13" s="17">
        <f>'Worksheet - General Fund (010)'!G13</f>
        <v>600</v>
      </c>
      <c r="F13" s="17">
        <f>'Worksheet - General Fund (010)'!H13</f>
        <v>2000</v>
      </c>
      <c r="G13" s="17">
        <f>'Worksheet - General Fund (010)'!I13</f>
        <v>2000</v>
      </c>
    </row>
    <row r="14" spans="1:7">
      <c r="A14" s="69" t="s">
        <v>682</v>
      </c>
      <c r="B14" s="53">
        <v>168854.85</v>
      </c>
      <c r="C14" s="17">
        <f>'Worksheet - General Fund (010)'!E14</f>
        <v>150000</v>
      </c>
      <c r="D14" s="17">
        <f>'Worksheet - General Fund (010)'!F14</f>
        <v>0</v>
      </c>
      <c r="E14" s="17">
        <f>'Worksheet - General Fund (010)'!G14</f>
        <v>217224.5</v>
      </c>
      <c r="F14" s="17">
        <f>'Worksheet - General Fund (010)'!H14</f>
        <v>236972.18181818182</v>
      </c>
      <c r="G14" s="17">
        <f>'Worksheet - General Fund (010)'!I14</f>
        <v>315000</v>
      </c>
    </row>
    <row r="15" spans="1:7" s="25" customFormat="1" ht="12.75">
      <c r="A15" s="69" t="s">
        <v>53</v>
      </c>
      <c r="B15" s="52">
        <v>2901.74</v>
      </c>
      <c r="C15" s="17">
        <f>'Worksheet - General Fund (010)'!E15</f>
        <v>1500</v>
      </c>
      <c r="D15" s="17">
        <f>'Worksheet - General Fund (010)'!F15</f>
        <v>0</v>
      </c>
      <c r="E15" s="17">
        <f>'Worksheet - General Fund (010)'!G15</f>
        <v>2137.8000000000002</v>
      </c>
      <c r="F15" s="17">
        <f>'Worksheet - General Fund (010)'!H15</f>
        <v>2332.1454545454549</v>
      </c>
      <c r="G15" s="17">
        <f>'Worksheet - General Fund (010)'!I15</f>
        <v>1500</v>
      </c>
    </row>
    <row r="16" spans="1:7">
      <c r="A16" s="69" t="s">
        <v>55</v>
      </c>
      <c r="B16" s="52">
        <v>12720</v>
      </c>
      <c r="C16" s="17">
        <f>'Worksheet - General Fund (010)'!E16</f>
        <v>12720</v>
      </c>
      <c r="D16" s="17">
        <f>'Worksheet - General Fund (010)'!F16</f>
        <v>0</v>
      </c>
      <c r="E16" s="17">
        <f>'Worksheet - General Fund (010)'!G16</f>
        <v>11660</v>
      </c>
      <c r="F16" s="17">
        <f>'Worksheet - General Fund (010)'!H16</f>
        <v>12720</v>
      </c>
      <c r="G16" s="17">
        <f>'Worksheet - General Fund (010)'!I16</f>
        <v>12720</v>
      </c>
    </row>
    <row r="17" spans="1:7">
      <c r="A17" s="69" t="s">
        <v>57</v>
      </c>
      <c r="B17" s="52">
        <v>3240</v>
      </c>
      <c r="C17" s="17">
        <f>'Worksheet - General Fund (010)'!E17</f>
        <v>3240</v>
      </c>
      <c r="D17" s="17">
        <f>'Worksheet - General Fund (010)'!F17</f>
        <v>0</v>
      </c>
      <c r="E17" s="17">
        <f>'Worksheet - General Fund (010)'!G17</f>
        <v>2970</v>
      </c>
      <c r="F17" s="17">
        <f>'Worksheet - General Fund (010)'!H17</f>
        <v>3240</v>
      </c>
      <c r="G17" s="17">
        <f>'Worksheet - General Fund (010)'!I17</f>
        <v>3240</v>
      </c>
    </row>
    <row r="18" spans="1:7">
      <c r="A18" s="69" t="s">
        <v>59</v>
      </c>
      <c r="B18" s="52">
        <v>13949.5</v>
      </c>
      <c r="C18" s="17">
        <f>'Worksheet - General Fund (010)'!E18</f>
        <v>12000</v>
      </c>
      <c r="D18" s="17">
        <f>'Worksheet - General Fund (010)'!F18</f>
        <v>0</v>
      </c>
      <c r="E18" s="17">
        <f>'Worksheet - General Fund (010)'!G18</f>
        <v>12974.44</v>
      </c>
      <c r="F18" s="17">
        <f>'Worksheet - General Fund (010)'!H18</f>
        <v>14153.934545454546</v>
      </c>
      <c r="G18" s="17">
        <f>'Worksheet - General Fund (010)'!I18</f>
        <v>13000</v>
      </c>
    </row>
    <row r="19" spans="1:7">
      <c r="A19" s="69" t="s">
        <v>61</v>
      </c>
      <c r="B19" s="52">
        <v>151799.84</v>
      </c>
      <c r="C19" s="17">
        <f>'Worksheet - General Fund (010)'!E19</f>
        <v>130000</v>
      </c>
      <c r="D19" s="17">
        <f>'Worksheet - General Fund (010)'!F19</f>
        <v>0</v>
      </c>
      <c r="E19" s="17">
        <f>'Worksheet - General Fund (010)'!G19</f>
        <v>101895.43</v>
      </c>
      <c r="F19" s="17">
        <f>'Worksheet - General Fund (010)'!H19</f>
        <v>111158.65090909091</v>
      </c>
      <c r="G19" s="17">
        <f>'Worksheet - General Fund (010)'!I19</f>
        <v>130000</v>
      </c>
    </row>
    <row r="20" spans="1:7">
      <c r="A20" s="69" t="s">
        <v>63</v>
      </c>
      <c r="B20" s="52">
        <v>2405.29</v>
      </c>
      <c r="C20" s="17">
        <f>'Worksheet - General Fund (010)'!E20</f>
        <v>1800</v>
      </c>
      <c r="D20" s="17">
        <f>'Worksheet - General Fund (010)'!F20</f>
        <v>0</v>
      </c>
      <c r="E20" s="17">
        <f>'Worksheet - General Fund (010)'!G20</f>
        <v>2049.8200000000002</v>
      </c>
      <c r="F20" s="17">
        <f>'Worksheet - General Fund (010)'!H20</f>
        <v>2236.167272727273</v>
      </c>
      <c r="G20" s="17">
        <f>'Worksheet - General Fund (010)'!I20</f>
        <v>2200</v>
      </c>
    </row>
    <row r="21" spans="1:7">
      <c r="A21" s="69" t="s">
        <v>65</v>
      </c>
      <c r="B21" s="52">
        <v>25613</v>
      </c>
      <c r="C21" s="17">
        <f>'Worksheet - General Fund (010)'!E21</f>
        <v>25237</v>
      </c>
      <c r="D21" s="17">
        <f>'Worksheet - General Fund (010)'!F21</f>
        <v>0</v>
      </c>
      <c r="E21" s="17">
        <f>'Worksheet - General Fund (010)'!G21</f>
        <v>26637</v>
      </c>
      <c r="F21" s="17">
        <f>'Worksheet - General Fund (010)'!H21</f>
        <v>29058.545454545456</v>
      </c>
      <c r="G21" s="17">
        <f>'Worksheet - General Fund (010)'!I21</f>
        <v>30000</v>
      </c>
    </row>
    <row r="22" spans="1:7" s="25" customFormat="1" ht="13.5" thickBot="1">
      <c r="A22" s="43" t="s">
        <v>880</v>
      </c>
      <c r="B22" s="104">
        <f t="shared" ref="B22:F22" si="0">SUM(B9:B21)</f>
        <v>1741226.6000000003</v>
      </c>
      <c r="C22" s="54">
        <f t="shared" si="0"/>
        <v>1578797</v>
      </c>
      <c r="D22" s="54">
        <f t="shared" si="0"/>
        <v>0</v>
      </c>
      <c r="E22" s="54">
        <f>SUM(E9:E21)</f>
        <v>1791278.9</v>
      </c>
      <c r="F22" s="54">
        <f t="shared" si="0"/>
        <v>1955467.8909090909</v>
      </c>
      <c r="G22" s="55">
        <f>SUM(G9:G21)</f>
        <v>2050160</v>
      </c>
    </row>
    <row r="23" spans="1:7" ht="15.75" thickTop="1">
      <c r="B23" s="52" t="s">
        <v>13</v>
      </c>
      <c r="C23" s="52"/>
      <c r="D23" s="52"/>
      <c r="E23" s="52"/>
      <c r="F23" s="52"/>
    </row>
    <row r="24" spans="1:7">
      <c r="A24" s="18" t="s">
        <v>67</v>
      </c>
      <c r="B24" s="52" t="s">
        <v>13</v>
      </c>
    </row>
    <row r="25" spans="1:7">
      <c r="A25" s="70" t="s">
        <v>25</v>
      </c>
      <c r="B25" s="52">
        <v>155590.46</v>
      </c>
      <c r="C25" s="52">
        <f>'Worksheet - General Fund (010)'!E26</f>
        <v>165000</v>
      </c>
      <c r="D25" s="52">
        <f>'Worksheet - General Fund (010)'!F26</f>
        <v>0</v>
      </c>
      <c r="E25" s="52">
        <f>'Worksheet - General Fund (010)'!G26</f>
        <v>155475.32999999999</v>
      </c>
      <c r="F25" s="52">
        <f>'Worksheet - General Fund (010)'!H26</f>
        <v>165000</v>
      </c>
      <c r="G25" s="52">
        <f>'Worksheet - General Fund (010)'!I26</f>
        <v>165000</v>
      </c>
    </row>
    <row r="26" spans="1:7" ht="15.75" thickBot="1">
      <c r="A26" s="18" t="s">
        <v>881</v>
      </c>
      <c r="B26" s="104">
        <f>SUM(B25)</f>
        <v>155590.46</v>
      </c>
      <c r="C26" s="54">
        <f t="shared" ref="C26:F26" si="1">SUM(C25)</f>
        <v>165000</v>
      </c>
      <c r="D26" s="54">
        <f t="shared" si="1"/>
        <v>0</v>
      </c>
      <c r="E26" s="54">
        <f t="shared" si="1"/>
        <v>155475.32999999999</v>
      </c>
      <c r="F26" s="54">
        <f t="shared" si="1"/>
        <v>165000</v>
      </c>
      <c r="G26" s="56">
        <f>SUM(G25)</f>
        <v>165000</v>
      </c>
    </row>
    <row r="27" spans="1:7" ht="15.75" thickTop="1">
      <c r="B27" s="57"/>
      <c r="C27" s="52"/>
      <c r="D27" s="52"/>
      <c r="E27" s="52"/>
      <c r="F27" s="52"/>
      <c r="G27" s="58"/>
    </row>
    <row r="28" spans="1:7">
      <c r="A28" s="18" t="s">
        <v>69</v>
      </c>
      <c r="B28" s="52"/>
      <c r="C28" s="52"/>
      <c r="D28" s="52"/>
      <c r="E28" s="52"/>
      <c r="F28" s="52"/>
      <c r="G28" s="58"/>
    </row>
    <row r="29" spans="1:7">
      <c r="A29" s="70" t="s">
        <v>70</v>
      </c>
      <c r="B29" s="52">
        <v>1925</v>
      </c>
      <c r="C29" s="52">
        <f>'Worksheet - General Fund (010)'!E31</f>
        <v>1500</v>
      </c>
      <c r="D29" s="52">
        <f>'Worksheet - General Fund (010)'!F31</f>
        <v>0</v>
      </c>
      <c r="E29" s="52">
        <f>'Worksheet - General Fund (010)'!G31</f>
        <v>1218.75</v>
      </c>
      <c r="F29" s="52">
        <f>'Worksheet - General Fund (010)'!H31</f>
        <v>1329.5454545454545</v>
      </c>
      <c r="G29" s="38">
        <f>'Worksheet - General Fund (010)'!I31</f>
        <v>1500</v>
      </c>
    </row>
    <row r="30" spans="1:7">
      <c r="A30" s="70" t="s">
        <v>71</v>
      </c>
      <c r="B30" s="52">
        <v>840</v>
      </c>
      <c r="C30" s="52">
        <f>'Worksheet - General Fund (010)'!E32</f>
        <v>750</v>
      </c>
      <c r="D30" s="52">
        <f>'Worksheet - General Fund (010)'!F32</f>
        <v>0</v>
      </c>
      <c r="E30" s="52">
        <f>'Worksheet - General Fund (010)'!G32</f>
        <v>1725</v>
      </c>
      <c r="F30" s="52">
        <f>'Worksheet - General Fund (010)'!H32</f>
        <v>1881.8181818181818</v>
      </c>
      <c r="G30" s="38">
        <f>'Worksheet - General Fund (010)'!I32</f>
        <v>750</v>
      </c>
    </row>
    <row r="31" spans="1:7">
      <c r="A31" s="70" t="s">
        <v>72</v>
      </c>
      <c r="B31" s="52">
        <v>1350</v>
      </c>
      <c r="C31" s="52">
        <f>'Worksheet - General Fund (010)'!E33</f>
        <v>150</v>
      </c>
      <c r="D31" s="52">
        <f>'Worksheet - General Fund (010)'!F33</f>
        <v>0</v>
      </c>
      <c r="E31" s="52">
        <f>'Worksheet - General Fund (010)'!G33</f>
        <v>600</v>
      </c>
      <c r="F31" s="52">
        <f>'Worksheet - General Fund (010)'!H33</f>
        <v>150</v>
      </c>
      <c r="G31" s="38">
        <f>'Worksheet - General Fund (010)'!I33</f>
        <v>150</v>
      </c>
    </row>
    <row r="32" spans="1:7">
      <c r="A32" s="70" t="s">
        <v>73</v>
      </c>
      <c r="B32" s="52">
        <v>15000</v>
      </c>
      <c r="C32" s="52">
        <f>'Worksheet - General Fund (010)'!E34</f>
        <v>12500</v>
      </c>
      <c r="D32" s="52">
        <f>'Worksheet - General Fund (010)'!F34</f>
        <v>0</v>
      </c>
      <c r="E32" s="52">
        <f>'Worksheet - General Fund (010)'!G34</f>
        <v>10000</v>
      </c>
      <c r="F32" s="52">
        <f>'Worksheet - General Fund (010)'!H34</f>
        <v>15000</v>
      </c>
      <c r="G32" s="38">
        <f>'Worksheet - General Fund (010)'!I34</f>
        <v>15000</v>
      </c>
    </row>
    <row r="33" spans="1:7" s="25" customFormat="1" ht="12.75">
      <c r="A33" s="70" t="s">
        <v>74</v>
      </c>
      <c r="B33" s="52">
        <v>15000</v>
      </c>
      <c r="C33" s="52">
        <f>'Worksheet - General Fund (010)'!E35</f>
        <v>12500</v>
      </c>
      <c r="D33" s="52">
        <f>'Worksheet - General Fund (010)'!F35</f>
        <v>0</v>
      </c>
      <c r="E33" s="52">
        <f>'Worksheet - General Fund (010)'!G35</f>
        <v>10000</v>
      </c>
      <c r="F33" s="52">
        <f>'Worksheet - General Fund (010)'!H35</f>
        <v>15000</v>
      </c>
      <c r="G33" s="38">
        <f>'Worksheet - General Fund (010)'!I35</f>
        <v>15000</v>
      </c>
    </row>
    <row r="34" spans="1:7">
      <c r="A34" s="70" t="s">
        <v>75</v>
      </c>
      <c r="B34" s="52">
        <v>100</v>
      </c>
      <c r="C34" s="52">
        <f>'Worksheet - General Fund (010)'!E36</f>
        <v>100</v>
      </c>
      <c r="D34" s="52">
        <f>'Worksheet - General Fund (010)'!F36</f>
        <v>0</v>
      </c>
      <c r="E34" s="52">
        <f>'Worksheet - General Fund (010)'!G36</f>
        <v>100</v>
      </c>
      <c r="F34" s="52">
        <f>'Worksheet - General Fund (010)'!H36</f>
        <v>100</v>
      </c>
      <c r="G34" s="38">
        <f>'Worksheet - General Fund (010)'!I36</f>
        <v>100</v>
      </c>
    </row>
    <row r="35" spans="1:7">
      <c r="A35" s="70" t="s">
        <v>76</v>
      </c>
      <c r="B35" s="52">
        <v>485</v>
      </c>
      <c r="C35" s="52">
        <f>'Worksheet - General Fund (010)'!E37</f>
        <v>500</v>
      </c>
      <c r="D35" s="52">
        <f>'Worksheet - General Fund (010)'!F37</f>
        <v>0</v>
      </c>
      <c r="E35" s="52">
        <f>'Worksheet - General Fund (010)'!G37</f>
        <v>265</v>
      </c>
      <c r="F35" s="52">
        <f>'Worksheet - General Fund (010)'!H37</f>
        <v>289.09090909090907</v>
      </c>
      <c r="G35" s="38">
        <f>'Worksheet - General Fund (010)'!I37</f>
        <v>500</v>
      </c>
    </row>
    <row r="36" spans="1:7">
      <c r="A36" s="70" t="s">
        <v>77</v>
      </c>
      <c r="B36" s="52">
        <v>50</v>
      </c>
      <c r="C36" s="52">
        <f>'Worksheet - General Fund (010)'!E38</f>
        <v>50</v>
      </c>
      <c r="D36" s="52">
        <f>'Worksheet - General Fund (010)'!F38</f>
        <v>0</v>
      </c>
      <c r="E36" s="52">
        <f>'Worksheet - General Fund (010)'!G38</f>
        <v>0</v>
      </c>
      <c r="F36" s="52">
        <f>'Worksheet - General Fund (010)'!H38</f>
        <v>0</v>
      </c>
      <c r="G36" s="38">
        <f>'Worksheet - General Fund (010)'!I38</f>
        <v>50</v>
      </c>
    </row>
    <row r="37" spans="1:7">
      <c r="A37" s="70" t="s">
        <v>78</v>
      </c>
      <c r="B37" s="52">
        <v>2085</v>
      </c>
      <c r="C37" s="52">
        <f>'Worksheet - General Fund (010)'!E39</f>
        <v>2000</v>
      </c>
      <c r="D37" s="52">
        <f>'Worksheet - General Fund (010)'!F39</f>
        <v>0</v>
      </c>
      <c r="E37" s="52">
        <f>'Worksheet - General Fund (010)'!G39</f>
        <v>1115</v>
      </c>
      <c r="F37" s="52">
        <f>'Worksheet - General Fund (010)'!H39</f>
        <v>1216.3636363636363</v>
      </c>
      <c r="G37" s="38">
        <f>'Worksheet - General Fund (010)'!I39</f>
        <v>1500</v>
      </c>
    </row>
    <row r="38" spans="1:7">
      <c r="A38" s="70" t="s">
        <v>79</v>
      </c>
      <c r="B38" s="52">
        <v>1150</v>
      </c>
      <c r="C38" s="52">
        <f>'Worksheet - General Fund (010)'!E40</f>
        <v>1000</v>
      </c>
      <c r="D38" s="52">
        <f>'Worksheet - General Fund (010)'!F40</f>
        <v>0</v>
      </c>
      <c r="E38" s="52">
        <f>'Worksheet - General Fund (010)'!G40</f>
        <v>945</v>
      </c>
      <c r="F38" s="52">
        <f>'Worksheet - General Fund (010)'!H40</f>
        <v>1030.909090909091</v>
      </c>
      <c r="G38" s="38">
        <f>'Worksheet - General Fund (010)'!I40</f>
        <v>1000</v>
      </c>
    </row>
    <row r="39" spans="1:7">
      <c r="A39" s="70" t="s">
        <v>80</v>
      </c>
      <c r="B39" s="52">
        <v>375</v>
      </c>
      <c r="C39" s="52">
        <f>'Worksheet - General Fund (010)'!E41</f>
        <v>400</v>
      </c>
      <c r="D39" s="52">
        <f>'Worksheet - General Fund (010)'!F41</f>
        <v>0</v>
      </c>
      <c r="E39" s="52">
        <f>'Worksheet - General Fund (010)'!G41</f>
        <v>0</v>
      </c>
      <c r="F39" s="52">
        <f>'Worksheet - General Fund (010)'!H41</f>
        <v>0</v>
      </c>
      <c r="G39" s="38">
        <f>'Worksheet - General Fund (010)'!I41</f>
        <v>400</v>
      </c>
    </row>
    <row r="40" spans="1:7" s="25" customFormat="1" ht="13.5" thickBot="1">
      <c r="A40" s="18" t="s">
        <v>882</v>
      </c>
      <c r="B40" s="54">
        <f>SUM(B29:B39)</f>
        <v>38360</v>
      </c>
      <c r="C40" s="54">
        <f t="shared" ref="C40:F40" si="2">SUM(C29:C39)</f>
        <v>31450</v>
      </c>
      <c r="D40" s="54">
        <f t="shared" si="2"/>
        <v>0</v>
      </c>
      <c r="E40" s="54">
        <f t="shared" si="2"/>
        <v>25968.75</v>
      </c>
      <c r="F40" s="54">
        <f t="shared" si="2"/>
        <v>35997.727272727272</v>
      </c>
      <c r="G40" s="56">
        <f>SUM(G29:G39)</f>
        <v>35950</v>
      </c>
    </row>
    <row r="41" spans="1:7" ht="15.75" thickTop="1">
      <c r="A41" s="18"/>
      <c r="B41" s="57"/>
      <c r="C41" s="57"/>
      <c r="D41" s="57"/>
      <c r="E41" s="57"/>
      <c r="F41" s="57"/>
      <c r="G41" s="58"/>
    </row>
    <row r="42" spans="1:7">
      <c r="A42" s="18" t="s">
        <v>92</v>
      </c>
      <c r="B42" s="52"/>
      <c r="C42" s="52"/>
      <c r="D42" s="52"/>
      <c r="E42" s="52"/>
      <c r="F42" s="52"/>
      <c r="G42" s="58"/>
    </row>
    <row r="43" spans="1:7">
      <c r="A43" s="70" t="s">
        <v>93</v>
      </c>
      <c r="B43" s="52">
        <v>0</v>
      </c>
      <c r="C43" s="52">
        <f>'Worksheet - General Fund (010)'!E46</f>
        <v>8000</v>
      </c>
      <c r="D43" s="52">
        <f>'Worksheet - General Fund (010)'!F46</f>
        <v>0</v>
      </c>
      <c r="E43" s="59">
        <f>'Worksheet - General Fund (010)'!G46</f>
        <v>628</v>
      </c>
      <c r="F43" s="59">
        <f>'Worksheet - General Fund (010)'!H46</f>
        <v>628</v>
      </c>
      <c r="G43" s="38">
        <f>'Worksheet - General Fund (010)'!I46</f>
        <v>8000</v>
      </c>
    </row>
    <row r="44" spans="1:7">
      <c r="A44" s="70" t="s">
        <v>95</v>
      </c>
      <c r="B44" s="52">
        <v>21440.5</v>
      </c>
      <c r="C44" s="52">
        <f>'Worksheet - General Fund (010)'!E47</f>
        <v>28500</v>
      </c>
      <c r="D44" s="52">
        <f>'Worksheet - General Fund (010)'!F47</f>
        <v>0</v>
      </c>
      <c r="E44" s="59">
        <f>'Worksheet - General Fund (010)'!G47</f>
        <v>32230</v>
      </c>
      <c r="F44" s="59">
        <f>'Worksheet - General Fund (010)'!H47</f>
        <v>32230</v>
      </c>
      <c r="G44" s="38">
        <f>'Worksheet - General Fund (010)'!I47</f>
        <v>54300</v>
      </c>
    </row>
    <row r="45" spans="1:7">
      <c r="A45" s="70" t="s">
        <v>94</v>
      </c>
      <c r="B45" s="52">
        <v>0</v>
      </c>
      <c r="C45" s="52">
        <f>'Worksheet - General Fund (010)'!E48</f>
        <v>0</v>
      </c>
      <c r="D45" s="52">
        <f>'Worksheet - General Fund (010)'!F48</f>
        <v>0</v>
      </c>
      <c r="E45" s="59">
        <f>'Worksheet - General Fund (010)'!G48</f>
        <v>0</v>
      </c>
      <c r="F45" s="59">
        <f>'Worksheet - General Fund (010)'!H48</f>
        <v>0</v>
      </c>
      <c r="G45" s="38">
        <f>'Worksheet - General Fund (010)'!I48</f>
        <v>0</v>
      </c>
    </row>
    <row r="46" spans="1:7">
      <c r="A46" s="70" t="s">
        <v>96</v>
      </c>
      <c r="B46" s="52">
        <v>36712.44</v>
      </c>
      <c r="C46" s="52">
        <f>'Worksheet - General Fund (010)'!E49</f>
        <v>36000</v>
      </c>
      <c r="D46" s="52">
        <f>'Worksheet - General Fund (010)'!F49</f>
        <v>0</v>
      </c>
      <c r="E46" s="59">
        <f>'Worksheet - General Fund (010)'!G49</f>
        <v>33767.14</v>
      </c>
      <c r="F46" s="59">
        <f>'Worksheet - General Fund (010)'!H49</f>
        <v>33767.14</v>
      </c>
      <c r="G46" s="38">
        <f>'Worksheet - General Fund (010)'!I49</f>
        <v>36000</v>
      </c>
    </row>
    <row r="47" spans="1:7">
      <c r="A47" s="70" t="s">
        <v>97</v>
      </c>
      <c r="B47" s="52">
        <v>50</v>
      </c>
      <c r="C47" s="52">
        <f>'Worksheet - General Fund (010)'!E50</f>
        <v>100</v>
      </c>
      <c r="D47" s="52">
        <f>'Worksheet - General Fund (010)'!F50</f>
        <v>0</v>
      </c>
      <c r="E47" s="59">
        <f>'Worksheet - General Fund (010)'!G50</f>
        <v>0</v>
      </c>
      <c r="F47" s="59">
        <f>'Worksheet - General Fund (010)'!H50</f>
        <v>0</v>
      </c>
      <c r="G47" s="38">
        <f>'Worksheet - General Fund (010)'!I50</f>
        <v>100</v>
      </c>
    </row>
    <row r="48" spans="1:7">
      <c r="A48" s="70" t="s">
        <v>98</v>
      </c>
      <c r="B48" s="52">
        <v>84.75</v>
      </c>
      <c r="C48" s="52">
        <f>'Worksheet - General Fund (010)'!E51</f>
        <v>100</v>
      </c>
      <c r="D48" s="52">
        <f>'Worksheet - General Fund (010)'!F51</f>
        <v>0</v>
      </c>
      <c r="E48" s="59">
        <f>'Worksheet - General Fund (010)'!G51</f>
        <v>105.5</v>
      </c>
      <c r="F48" s="59">
        <f>'Worksheet - General Fund (010)'!H51</f>
        <v>115.09090909090909</v>
      </c>
      <c r="G48" s="38">
        <f>'Worksheet - General Fund (010)'!I51</f>
        <v>150</v>
      </c>
    </row>
    <row r="49" spans="1:7">
      <c r="A49" s="70" t="s">
        <v>99</v>
      </c>
      <c r="B49" s="52">
        <v>47608.959999999999</v>
      </c>
      <c r="C49" s="52">
        <f>'Worksheet - General Fund (010)'!E52</f>
        <v>65000</v>
      </c>
      <c r="D49" s="52">
        <f>'Worksheet - General Fund (010)'!F52</f>
        <v>0</v>
      </c>
      <c r="E49" s="59">
        <f>'Worksheet - General Fund (010)'!G52</f>
        <v>48856.54</v>
      </c>
      <c r="F49" s="59">
        <f>'Worksheet - General Fund (010)'!H52</f>
        <v>53298.04363636364</v>
      </c>
      <c r="G49" s="38">
        <f>'Worksheet - General Fund (010)'!I52</f>
        <v>65000</v>
      </c>
    </row>
    <row r="50" spans="1:7">
      <c r="A50" s="70" t="s">
        <v>100</v>
      </c>
      <c r="B50" s="52">
        <v>49619.05</v>
      </c>
      <c r="C50" s="52">
        <f>'Worksheet - General Fund (010)'!E53</f>
        <v>2000</v>
      </c>
      <c r="D50" s="52">
        <f>'Worksheet - General Fund (010)'!F53</f>
        <v>0</v>
      </c>
      <c r="E50" s="59">
        <f>'Worksheet - General Fund (010)'!G53</f>
        <v>98015.15</v>
      </c>
      <c r="F50" s="59">
        <f>'Worksheet - General Fund (010)'!H53</f>
        <v>98015.15</v>
      </c>
      <c r="G50" s="38">
        <f>'Worksheet - General Fund (010)'!I53</f>
        <v>2000</v>
      </c>
    </row>
    <row r="51" spans="1:7">
      <c r="A51" s="70" t="s">
        <v>101</v>
      </c>
      <c r="B51" s="52">
        <v>112918.37</v>
      </c>
      <c r="C51" s="52">
        <f>'Worksheet - General Fund (010)'!E54</f>
        <v>120000</v>
      </c>
      <c r="D51" s="52">
        <f>'Worksheet - General Fund (010)'!F54</f>
        <v>0</v>
      </c>
      <c r="E51" s="59">
        <f>'Worksheet - General Fund (010)'!G54</f>
        <v>118222.12</v>
      </c>
      <c r="F51" s="59">
        <f>'Worksheet - General Fund (010)'!H54</f>
        <v>128969.58545454545</v>
      </c>
      <c r="G51" s="38">
        <f>'Worksheet - General Fund (010)'!I54</f>
        <v>140000</v>
      </c>
    </row>
    <row r="52" spans="1:7">
      <c r="A52" s="70" t="s">
        <v>102</v>
      </c>
      <c r="B52" s="52">
        <v>28000</v>
      </c>
      <c r="C52" s="52">
        <f>'Worksheet - General Fund (010)'!E55</f>
        <v>5000</v>
      </c>
      <c r="D52" s="52">
        <f>'Worksheet - General Fund (010)'!F55</f>
        <v>0</v>
      </c>
      <c r="E52" s="59">
        <f>'Worksheet - General Fund (010)'!G55</f>
        <v>2250</v>
      </c>
      <c r="F52" s="59">
        <f>'Worksheet - General Fund (010)'!H55</f>
        <v>2454.5454545454545</v>
      </c>
      <c r="G52" s="38">
        <f>'Worksheet - General Fund (010)'!I55</f>
        <v>5000</v>
      </c>
    </row>
    <row r="53" spans="1:7">
      <c r="A53" s="70" t="s">
        <v>103</v>
      </c>
      <c r="B53" s="52">
        <v>8950</v>
      </c>
      <c r="C53" s="52">
        <f>'Worksheet - General Fund (010)'!E56</f>
        <v>10000</v>
      </c>
      <c r="D53" s="52">
        <f>'Worksheet - General Fund (010)'!F56</f>
        <v>0</v>
      </c>
      <c r="E53" s="59">
        <f>'Worksheet - General Fund (010)'!G56</f>
        <v>10575</v>
      </c>
      <c r="F53" s="59">
        <f>'Worksheet - General Fund (010)'!H56</f>
        <v>11536.363636363636</v>
      </c>
      <c r="G53" s="38">
        <f>'Worksheet - General Fund (010)'!I56</f>
        <v>12000</v>
      </c>
    </row>
    <row r="54" spans="1:7">
      <c r="A54" s="70" t="s">
        <v>116</v>
      </c>
      <c r="B54" s="52">
        <v>50</v>
      </c>
      <c r="C54" s="52">
        <f>'Worksheet - General Fund (010)'!E57</f>
        <v>100</v>
      </c>
      <c r="D54" s="52">
        <f>'Worksheet - General Fund (010)'!F57</f>
        <v>0</v>
      </c>
      <c r="E54" s="59">
        <f>'Worksheet - General Fund (010)'!G57</f>
        <v>150</v>
      </c>
      <c r="F54" s="59">
        <f>'Worksheet - General Fund (010)'!H57</f>
        <v>163.63636363636363</v>
      </c>
      <c r="G54" s="38">
        <f>'Worksheet - General Fund (010)'!I57</f>
        <v>200</v>
      </c>
    </row>
    <row r="55" spans="1:7">
      <c r="A55" s="70" t="s">
        <v>118</v>
      </c>
      <c r="B55" s="52">
        <v>19963</v>
      </c>
      <c r="C55" s="52">
        <f>'Worksheet - General Fund (010)'!E58</f>
        <v>20000</v>
      </c>
      <c r="D55" s="52">
        <f>'Worksheet - General Fund (010)'!F58</f>
        <v>0</v>
      </c>
      <c r="E55" s="59">
        <f>'Worksheet - General Fund (010)'!G58</f>
        <v>10407.25</v>
      </c>
      <c r="F55" s="59">
        <f>'Worksheet - General Fund (010)'!H58</f>
        <v>10407.25</v>
      </c>
      <c r="G55" s="38">
        <f>'Worksheet - General Fund (010)'!I58</f>
        <v>20000</v>
      </c>
    </row>
    <row r="56" spans="1:7">
      <c r="A56" s="70" t="s">
        <v>120</v>
      </c>
      <c r="B56" s="52">
        <v>5184.6499999999996</v>
      </c>
      <c r="C56" s="52">
        <f>'Worksheet - General Fund (010)'!E59</f>
        <v>6000</v>
      </c>
      <c r="D56" s="52">
        <f>'Worksheet - General Fund (010)'!F59</f>
        <v>0</v>
      </c>
      <c r="E56" s="59">
        <f>'Worksheet - General Fund (010)'!G59</f>
        <v>2300.4</v>
      </c>
      <c r="F56" s="59">
        <f>'Worksheet - General Fund (010)'!H59</f>
        <v>2300.4</v>
      </c>
      <c r="G56" s="38">
        <f>'Worksheet - General Fund (010)'!I59</f>
        <v>6000</v>
      </c>
    </row>
    <row r="57" spans="1:7">
      <c r="A57" s="70" t="s">
        <v>122</v>
      </c>
      <c r="B57" s="52">
        <v>4960</v>
      </c>
      <c r="C57" s="52">
        <f>'Worksheet - General Fund (010)'!E60</f>
        <v>5000</v>
      </c>
      <c r="D57" s="52">
        <f>'Worksheet - General Fund (010)'!F60</f>
        <v>0</v>
      </c>
      <c r="E57" s="59">
        <f>'Worksheet - General Fund (010)'!G60</f>
        <v>2955</v>
      </c>
      <c r="F57" s="59">
        <f>'Worksheet - General Fund (010)'!H60</f>
        <v>2955</v>
      </c>
      <c r="G57" s="38">
        <f>'Worksheet - General Fund (010)'!I60</f>
        <v>5000</v>
      </c>
    </row>
    <row r="58" spans="1:7">
      <c r="A58" s="70" t="s">
        <v>124</v>
      </c>
      <c r="B58" s="52">
        <v>6675</v>
      </c>
      <c r="C58" s="52">
        <f>'Worksheet - General Fund (010)'!E61</f>
        <v>7000</v>
      </c>
      <c r="D58" s="52">
        <f>'Worksheet - General Fund (010)'!F61</f>
        <v>0</v>
      </c>
      <c r="E58" s="59">
        <f>'Worksheet - General Fund (010)'!G61</f>
        <v>0</v>
      </c>
      <c r="F58" s="59">
        <f>'Worksheet - General Fund (010)'!H61</f>
        <v>0</v>
      </c>
      <c r="G58" s="38">
        <f>'Worksheet - General Fund (010)'!I61</f>
        <v>7000</v>
      </c>
    </row>
    <row r="59" spans="1:7">
      <c r="A59" s="70" t="s">
        <v>631</v>
      </c>
      <c r="B59" s="52">
        <v>900</v>
      </c>
      <c r="C59" s="52">
        <f>'Worksheet - General Fund (010)'!E62</f>
        <v>900</v>
      </c>
      <c r="D59" s="52">
        <f>'Worksheet - General Fund (010)'!F62</f>
        <v>0</v>
      </c>
      <c r="E59" s="59">
        <f>'Worksheet - General Fund (010)'!G62</f>
        <v>0</v>
      </c>
      <c r="F59" s="59">
        <f>'Worksheet - General Fund (010)'!H62</f>
        <v>0</v>
      </c>
      <c r="G59" s="38">
        <f>'Worksheet - General Fund (010)'!I62</f>
        <v>900</v>
      </c>
    </row>
    <row r="60" spans="1:7">
      <c r="A60" s="70" t="s">
        <v>126</v>
      </c>
      <c r="B60" s="52">
        <v>11504.48</v>
      </c>
      <c r="C60" s="52">
        <f>'Worksheet - General Fund (010)'!E63</f>
        <v>2000</v>
      </c>
      <c r="D60" s="52">
        <f>'Worksheet - General Fund (010)'!F63</f>
        <v>0</v>
      </c>
      <c r="E60" s="59">
        <f>'Worksheet - General Fund (010)'!G63</f>
        <v>1893.09</v>
      </c>
      <c r="F60" s="59">
        <f>'Worksheet - General Fund (010)'!H63</f>
        <v>1893.09</v>
      </c>
      <c r="G60" s="38">
        <f>'Worksheet - General Fund (010)'!I63</f>
        <v>2000</v>
      </c>
    </row>
    <row r="61" spans="1:7">
      <c r="A61" s="70" t="s">
        <v>129</v>
      </c>
      <c r="B61" s="52">
        <v>490</v>
      </c>
      <c r="C61" s="52">
        <f>'Worksheet - General Fund (010)'!E64</f>
        <v>500</v>
      </c>
      <c r="D61" s="52">
        <f>'Worksheet - General Fund (010)'!F64</f>
        <v>0</v>
      </c>
      <c r="E61" s="59">
        <f>'Worksheet - General Fund (010)'!G64</f>
        <v>0</v>
      </c>
      <c r="F61" s="59">
        <f>'Worksheet - General Fund (010)'!H64</f>
        <v>0</v>
      </c>
      <c r="G61" s="38">
        <f>'Worksheet - General Fund (010)'!I64</f>
        <v>500</v>
      </c>
    </row>
    <row r="62" spans="1:7">
      <c r="A62" s="70" t="s">
        <v>130</v>
      </c>
      <c r="B62" s="52">
        <v>3665</v>
      </c>
      <c r="C62" s="52">
        <f>'Worksheet - General Fund (010)'!E65</f>
        <v>2500</v>
      </c>
      <c r="D62" s="52">
        <f>'Worksheet - General Fund (010)'!F65</f>
        <v>0</v>
      </c>
      <c r="E62" s="59">
        <f>'Worksheet - General Fund (010)'!G65</f>
        <v>40</v>
      </c>
      <c r="F62" s="59">
        <f>'Worksheet - General Fund (010)'!H65</f>
        <v>2500</v>
      </c>
      <c r="G62" s="38">
        <f>'Worksheet - General Fund (010)'!I65</f>
        <v>2500</v>
      </c>
    </row>
    <row r="63" spans="1:7">
      <c r="A63" s="70" t="s">
        <v>132</v>
      </c>
      <c r="B63" s="52">
        <v>1980</v>
      </c>
      <c r="C63" s="52">
        <f>'Worksheet - General Fund (010)'!E66</f>
        <v>2000</v>
      </c>
      <c r="D63" s="52">
        <f>'Worksheet - General Fund (010)'!F66</f>
        <v>0</v>
      </c>
      <c r="E63" s="59">
        <f>'Worksheet - General Fund (010)'!G66</f>
        <v>850</v>
      </c>
      <c r="F63" s="59">
        <f>'Worksheet - General Fund (010)'!H66</f>
        <v>850</v>
      </c>
      <c r="G63" s="38">
        <f>'Worksheet - General Fund (010)'!I66</f>
        <v>2000</v>
      </c>
    </row>
    <row r="64" spans="1:7">
      <c r="A64" s="70" t="s">
        <v>965</v>
      </c>
      <c r="B64" s="52">
        <v>0</v>
      </c>
      <c r="C64" s="52">
        <v>0</v>
      </c>
      <c r="D64" s="52">
        <v>0</v>
      </c>
      <c r="E64" s="59">
        <f>'Worksheet - General Fund (010)'!G67</f>
        <v>1425</v>
      </c>
      <c r="F64" s="59">
        <f>'Worksheet - General Fund (010)'!H67</f>
        <v>1425</v>
      </c>
      <c r="G64" s="38">
        <f>'Worksheet - General Fund (010)'!I67</f>
        <v>2000</v>
      </c>
    </row>
    <row r="65" spans="1:7">
      <c r="A65" s="70" t="s">
        <v>134</v>
      </c>
      <c r="B65" s="52">
        <v>2525</v>
      </c>
      <c r="C65" s="52">
        <f>'Worksheet - General Fund (010)'!E68</f>
        <v>2500</v>
      </c>
      <c r="D65" s="52">
        <f>'Worksheet - General Fund (010)'!F68</f>
        <v>0</v>
      </c>
      <c r="E65" s="59">
        <f>'Worksheet - General Fund (010)'!G68</f>
        <v>0</v>
      </c>
      <c r="F65" s="59">
        <f>'Worksheet - General Fund (010)'!H68</f>
        <v>0</v>
      </c>
      <c r="G65" s="38">
        <f>'Worksheet - General Fund (010)'!I68</f>
        <v>2500</v>
      </c>
    </row>
    <row r="66" spans="1:7">
      <c r="A66" s="70" t="s">
        <v>136</v>
      </c>
      <c r="B66" s="52">
        <v>1270</v>
      </c>
      <c r="C66" s="52">
        <f>'Worksheet - General Fund (010)'!E69</f>
        <v>1300</v>
      </c>
      <c r="D66" s="52">
        <f>'Worksheet - General Fund (010)'!F69</f>
        <v>0</v>
      </c>
      <c r="E66" s="59">
        <f>'Worksheet - General Fund (010)'!G69</f>
        <v>3700</v>
      </c>
      <c r="F66" s="59">
        <f>'Worksheet - General Fund (010)'!H69</f>
        <v>3700</v>
      </c>
      <c r="G66" s="38">
        <f>'Worksheet - General Fund (010)'!I69</f>
        <v>1500</v>
      </c>
    </row>
    <row r="67" spans="1:7">
      <c r="A67" s="70" t="s">
        <v>138</v>
      </c>
      <c r="B67" s="52">
        <v>6125</v>
      </c>
      <c r="C67" s="52">
        <f>'Worksheet - General Fund (010)'!E70</f>
        <v>5000</v>
      </c>
      <c r="D67" s="52">
        <f>'Worksheet - General Fund (010)'!F70</f>
        <v>0</v>
      </c>
      <c r="E67" s="59">
        <f>'Worksheet - General Fund (010)'!G70</f>
        <v>0</v>
      </c>
      <c r="F67" s="59">
        <f>'Worksheet - General Fund (010)'!H70</f>
        <v>0</v>
      </c>
      <c r="G67" s="38">
        <f>'Worksheet - General Fund (010)'!I70</f>
        <v>5000</v>
      </c>
    </row>
    <row r="68" spans="1:7">
      <c r="A68" s="70" t="s">
        <v>140</v>
      </c>
      <c r="B68" s="52">
        <v>2222.6</v>
      </c>
      <c r="C68" s="52">
        <f>'Worksheet - General Fund (010)'!E71</f>
        <v>2000</v>
      </c>
      <c r="D68" s="52">
        <f>'Worksheet - General Fund (010)'!F71</f>
        <v>0</v>
      </c>
      <c r="E68" s="59">
        <f>'Worksheet - General Fund (010)'!G71</f>
        <v>1062.4000000000001</v>
      </c>
      <c r="F68" s="59">
        <f>'Worksheet - General Fund (010)'!H71</f>
        <v>1158.9818181818182</v>
      </c>
      <c r="G68" s="38">
        <f>'Worksheet - General Fund (010)'!I71</f>
        <v>2000</v>
      </c>
    </row>
    <row r="69" spans="1:7">
      <c r="A69" s="70" t="s">
        <v>142</v>
      </c>
      <c r="B69" s="52">
        <v>772.3</v>
      </c>
      <c r="C69" s="52">
        <f>'Worksheet - General Fund (010)'!E72</f>
        <v>1000</v>
      </c>
      <c r="D69" s="52">
        <f>'Worksheet - General Fund (010)'!F72</f>
        <v>0</v>
      </c>
      <c r="E69" s="59">
        <f>'Worksheet - General Fund (010)'!G72</f>
        <v>219.6</v>
      </c>
      <c r="F69" s="59">
        <f>'Worksheet - General Fund (010)'!H72</f>
        <v>239.56363636363636</v>
      </c>
      <c r="G69" s="38">
        <f>'Worksheet - General Fund (010)'!I72</f>
        <v>1000</v>
      </c>
    </row>
    <row r="70" spans="1:7" ht="15.75" thickBot="1">
      <c r="A70" s="41" t="s">
        <v>883</v>
      </c>
      <c r="B70" s="104">
        <f t="shared" ref="B70:G70" si="3">SUM(B43:B69)</f>
        <v>373671.1</v>
      </c>
      <c r="C70" s="54">
        <f t="shared" si="3"/>
        <v>332500</v>
      </c>
      <c r="D70" s="54">
        <f t="shared" si="3"/>
        <v>0</v>
      </c>
      <c r="E70" s="54">
        <f t="shared" si="3"/>
        <v>369652.19</v>
      </c>
      <c r="F70" s="54">
        <f t="shared" si="3"/>
        <v>388606.840909091</v>
      </c>
      <c r="G70" s="55">
        <f t="shared" si="3"/>
        <v>382650</v>
      </c>
    </row>
    <row r="71" spans="1:7" ht="15.75" thickTop="1">
      <c r="A71" s="18"/>
      <c r="B71" s="57"/>
      <c r="C71" s="57"/>
      <c r="D71" s="57"/>
      <c r="E71" s="57"/>
      <c r="F71" s="57"/>
      <c r="G71" s="58"/>
    </row>
    <row r="72" spans="1:7">
      <c r="A72" s="18" t="s">
        <v>3</v>
      </c>
      <c r="B72" s="57"/>
      <c r="C72" s="52"/>
      <c r="D72" s="52"/>
      <c r="E72" s="52"/>
      <c r="F72" s="52"/>
      <c r="G72" s="58"/>
    </row>
    <row r="73" spans="1:7">
      <c r="A73" s="70" t="s">
        <v>143</v>
      </c>
      <c r="B73" s="53">
        <v>0</v>
      </c>
      <c r="C73" s="52">
        <f>'Worksheet - General Fund (010)'!E77</f>
        <v>0</v>
      </c>
      <c r="D73" s="52">
        <f>'Worksheet - General Fund (010)'!F77</f>
        <v>0</v>
      </c>
      <c r="E73" s="59">
        <f>'Worksheet - General Fund (010)'!G77</f>
        <v>0</v>
      </c>
      <c r="F73" s="59">
        <f>'Worksheet - General Fund (010)'!H77</f>
        <v>0</v>
      </c>
      <c r="G73" s="60">
        <f>'Worksheet - General Fund (010)'!I77</f>
        <v>0</v>
      </c>
    </row>
    <row r="74" spans="1:7">
      <c r="A74" s="70" t="s">
        <v>144</v>
      </c>
      <c r="B74" s="53">
        <v>6496</v>
      </c>
      <c r="C74" s="52">
        <f>'Worksheet - General Fund (010)'!E78</f>
        <v>6500</v>
      </c>
      <c r="D74" s="52">
        <f>'Worksheet - General Fund (010)'!F78</f>
        <v>0</v>
      </c>
      <c r="E74" s="59">
        <f>'Worksheet - General Fund (010)'!G78</f>
        <v>6496</v>
      </c>
      <c r="F74" s="59">
        <f>'Worksheet - General Fund (010)'!H78</f>
        <v>6496</v>
      </c>
      <c r="G74" s="61">
        <f>'Worksheet - General Fund (010)'!I78</f>
        <v>6500</v>
      </c>
    </row>
    <row r="75" spans="1:7" ht="15.75" thickBot="1">
      <c r="A75" s="18" t="s">
        <v>884</v>
      </c>
      <c r="B75" s="104">
        <f>SUM(B73:B74)</f>
        <v>6496</v>
      </c>
      <c r="C75" s="54">
        <f t="shared" ref="C75:F75" si="4">SUM(C73:C74)</f>
        <v>6500</v>
      </c>
      <c r="D75" s="54">
        <f t="shared" si="4"/>
        <v>0</v>
      </c>
      <c r="E75" s="54">
        <f t="shared" si="4"/>
        <v>6496</v>
      </c>
      <c r="F75" s="54">
        <f t="shared" si="4"/>
        <v>6496</v>
      </c>
      <c r="G75" s="62">
        <f>SUM(G73:G74)</f>
        <v>6500</v>
      </c>
    </row>
    <row r="76" spans="1:7" ht="15.75" thickTop="1">
      <c r="A76" s="18"/>
      <c r="B76" s="52"/>
      <c r="C76" s="57"/>
      <c r="D76" s="57"/>
      <c r="E76" s="57"/>
      <c r="F76" s="57"/>
      <c r="G76" s="58"/>
    </row>
    <row r="77" spans="1:7">
      <c r="A77" s="18" t="s">
        <v>148</v>
      </c>
      <c r="B77" s="52"/>
      <c r="C77" s="52"/>
      <c r="D77" s="52"/>
      <c r="E77" s="52"/>
      <c r="F77" s="52"/>
      <c r="G77" s="58"/>
    </row>
    <row r="78" spans="1:7">
      <c r="A78" s="70" t="s">
        <v>149</v>
      </c>
      <c r="B78" s="52">
        <v>16199.01</v>
      </c>
      <c r="C78" s="52">
        <f>'Worksheet - General Fund (010)'!E83</f>
        <v>15000</v>
      </c>
      <c r="D78" s="52">
        <f>'Worksheet - General Fund (010)'!F83</f>
        <v>0</v>
      </c>
      <c r="E78" s="59">
        <f>'Worksheet - General Fund (010)'!G83</f>
        <v>9270</v>
      </c>
      <c r="F78" s="59">
        <f>'Worksheet - General Fund (010)'!H83</f>
        <v>10112.727272727272</v>
      </c>
      <c r="G78" s="38">
        <f>'Worksheet - General Fund (010)'!I83</f>
        <v>15000</v>
      </c>
    </row>
    <row r="79" spans="1:7">
      <c r="A79" s="70" t="s">
        <v>150</v>
      </c>
      <c r="B79" s="52">
        <v>5450.25</v>
      </c>
      <c r="C79" s="52">
        <f>'Worksheet - General Fund (010)'!E84</f>
        <v>5000</v>
      </c>
      <c r="D79" s="52">
        <f>'Worksheet - General Fund (010)'!F84</f>
        <v>0</v>
      </c>
      <c r="E79" s="59">
        <f>'Worksheet - General Fund (010)'!G84</f>
        <v>2775</v>
      </c>
      <c r="F79" s="59">
        <f>'Worksheet - General Fund (010)'!H84</f>
        <v>3027.2727272727275</v>
      </c>
      <c r="G79" s="38">
        <f>'Worksheet - General Fund (010)'!I84</f>
        <v>5000</v>
      </c>
    </row>
    <row r="80" spans="1:7">
      <c r="A80" s="70" t="s">
        <v>151</v>
      </c>
      <c r="B80" s="53">
        <v>19108.09</v>
      </c>
      <c r="C80" s="52">
        <f>'Worksheet - General Fund (010)'!E85</f>
        <v>10000</v>
      </c>
      <c r="D80" s="52">
        <f>'Worksheet - General Fund (010)'!F85</f>
        <v>0</v>
      </c>
      <c r="E80" s="59">
        <f>'Worksheet - General Fund (010)'!G85</f>
        <v>8128.3</v>
      </c>
      <c r="F80" s="59">
        <f>'Worksheet - General Fund (010)'!H85</f>
        <v>8867.2363636363643</v>
      </c>
      <c r="G80" s="38">
        <f>'Worksheet - General Fund (010)'!I85</f>
        <v>10000</v>
      </c>
    </row>
    <row r="81" spans="1:7">
      <c r="A81" s="70" t="s">
        <v>152</v>
      </c>
      <c r="B81" s="52">
        <v>1259.67</v>
      </c>
      <c r="C81" s="52">
        <f>'Worksheet - General Fund (010)'!E86</f>
        <v>1200</v>
      </c>
      <c r="D81" s="52">
        <f>'Worksheet - General Fund (010)'!F86</f>
        <v>0</v>
      </c>
      <c r="E81" s="59">
        <f>'Worksheet - General Fund (010)'!G86</f>
        <v>1178.83</v>
      </c>
      <c r="F81" s="59">
        <f>'Worksheet - General Fund (010)'!H86</f>
        <v>1285.9963636363636</v>
      </c>
      <c r="G81" s="38">
        <f>'Worksheet - General Fund (010)'!I86</f>
        <v>1200</v>
      </c>
    </row>
    <row r="82" spans="1:7" ht="15.75" thickBot="1">
      <c r="A82" s="18" t="s">
        <v>885</v>
      </c>
      <c r="B82" s="54">
        <f>SUM(B78:B81)</f>
        <v>42017.020000000004</v>
      </c>
      <c r="C82" s="54">
        <f t="shared" ref="C82:F82" si="5">SUM(C78:C81)</f>
        <v>31200</v>
      </c>
      <c r="D82" s="54">
        <f t="shared" si="5"/>
        <v>0</v>
      </c>
      <c r="E82" s="54">
        <f t="shared" si="5"/>
        <v>21352.129999999997</v>
      </c>
      <c r="F82" s="54">
        <f t="shared" si="5"/>
        <v>23293.232727272731</v>
      </c>
      <c r="G82" s="55">
        <f>SUM(G78:G81)</f>
        <v>31200</v>
      </c>
    </row>
    <row r="83" spans="1:7" s="25" customFormat="1" ht="13.5" thickTop="1">
      <c r="A83" s="21"/>
      <c r="B83" s="52"/>
      <c r="C83" s="52"/>
      <c r="D83" s="52"/>
      <c r="E83" s="52"/>
      <c r="F83" s="52"/>
      <c r="G83" s="58"/>
    </row>
    <row r="84" spans="1:7">
      <c r="A84" s="18" t="s">
        <v>157</v>
      </c>
      <c r="B84" s="53"/>
      <c r="C84" s="52"/>
      <c r="D84" s="52"/>
      <c r="E84" s="52"/>
      <c r="F84" s="52"/>
      <c r="G84" s="58"/>
    </row>
    <row r="85" spans="1:7">
      <c r="A85" s="70" t="s">
        <v>158</v>
      </c>
      <c r="B85" s="52">
        <v>0</v>
      </c>
      <c r="C85" s="52">
        <f>'Worksheet - General Fund (010)'!E91</f>
        <v>0</v>
      </c>
      <c r="D85" s="52">
        <f>'Worksheet - General Fund (010)'!F91</f>
        <v>0</v>
      </c>
      <c r="E85" s="52">
        <f>'Worksheet - General Fund (010)'!G91</f>
        <v>0</v>
      </c>
      <c r="F85" s="52">
        <f>'Worksheet - General Fund (010)'!H91</f>
        <v>0</v>
      </c>
      <c r="G85" s="38">
        <f>'Worksheet - General Fund (010)'!I91</f>
        <v>0</v>
      </c>
    </row>
    <row r="86" spans="1:7">
      <c r="A86" s="70" t="s">
        <v>981</v>
      </c>
      <c r="B86" s="52">
        <v>0</v>
      </c>
      <c r="C86" s="52">
        <v>0</v>
      </c>
      <c r="D86" s="52">
        <v>0</v>
      </c>
      <c r="E86" s="52">
        <f>'Worksheet - General Fund (010)'!G92</f>
        <v>200</v>
      </c>
      <c r="F86" s="52">
        <f>'Worksheet - General Fund (010)'!H92</f>
        <v>218.18181818181819</v>
      </c>
      <c r="G86" s="38">
        <f>'Worksheet - General Fund (010)'!I92</f>
        <v>500</v>
      </c>
    </row>
    <row r="87" spans="1:7">
      <c r="A87" s="70" t="s">
        <v>159</v>
      </c>
      <c r="B87" s="52">
        <v>3600</v>
      </c>
      <c r="C87" s="52">
        <f>'Worksheet - General Fund (010)'!E93</f>
        <v>3600</v>
      </c>
      <c r="D87" s="52">
        <f>'Worksheet - General Fund (010)'!F93</f>
        <v>0</v>
      </c>
      <c r="E87" s="52">
        <f>'Worksheet - General Fund (010)'!G93</f>
        <v>2400</v>
      </c>
      <c r="F87" s="52">
        <f>'Worksheet - General Fund (010)'!H93</f>
        <v>3600</v>
      </c>
      <c r="G87" s="38">
        <f>'Worksheet - General Fund (010)'!I93</f>
        <v>3600</v>
      </c>
    </row>
    <row r="88" spans="1:7">
      <c r="A88" s="70" t="s">
        <v>160</v>
      </c>
      <c r="B88" s="59">
        <v>2743</v>
      </c>
      <c r="C88" s="52">
        <f>'Worksheet - General Fund (010)'!E94</f>
        <v>2500</v>
      </c>
      <c r="D88" s="52">
        <f>'Worksheet - General Fund (010)'!F94</f>
        <v>0</v>
      </c>
      <c r="E88" s="52">
        <f>'Worksheet - General Fund (010)'!G94</f>
        <v>2360</v>
      </c>
      <c r="F88" s="52">
        <f>'Worksheet - General Fund (010)'!H94</f>
        <v>2574.5454545454545</v>
      </c>
      <c r="G88" s="38">
        <f>'Worksheet - General Fund (010)'!I94</f>
        <v>2500</v>
      </c>
    </row>
    <row r="89" spans="1:7">
      <c r="A89" s="70" t="s">
        <v>163</v>
      </c>
      <c r="B89" s="59">
        <v>575</v>
      </c>
      <c r="C89" s="52">
        <f>'Worksheet - General Fund (010)'!E95</f>
        <v>350</v>
      </c>
      <c r="D89" s="52">
        <f>'Worksheet - General Fund (010)'!F95</f>
        <v>0</v>
      </c>
      <c r="E89" s="52">
        <f>'Worksheet - General Fund (010)'!G95</f>
        <v>330</v>
      </c>
      <c r="F89" s="52">
        <f>'Worksheet - General Fund (010)'!H95</f>
        <v>360</v>
      </c>
      <c r="G89" s="38">
        <f>'Worksheet - General Fund (010)'!I95</f>
        <v>350</v>
      </c>
    </row>
    <row r="90" spans="1:7">
      <c r="A90" s="71" t="s">
        <v>164</v>
      </c>
      <c r="B90" s="59">
        <v>560</v>
      </c>
      <c r="C90" s="52">
        <f>'Worksheet - General Fund (010)'!E96</f>
        <v>500</v>
      </c>
      <c r="D90" s="52">
        <f>'Worksheet - General Fund (010)'!F96</f>
        <v>0</v>
      </c>
      <c r="E90" s="52">
        <f>'Worksheet - General Fund (010)'!G96</f>
        <v>250</v>
      </c>
      <c r="F90" s="52">
        <f>'Worksheet - General Fund (010)'!H96</f>
        <v>272.72727272727275</v>
      </c>
      <c r="G90" s="38">
        <f>'Worksheet - General Fund (010)'!I96</f>
        <v>500</v>
      </c>
    </row>
    <row r="91" spans="1:7">
      <c r="A91" s="70" t="s">
        <v>161</v>
      </c>
      <c r="B91" s="59">
        <v>12507</v>
      </c>
      <c r="C91" s="52">
        <f>'Worksheet - General Fund (010)'!E97</f>
        <v>4000</v>
      </c>
      <c r="D91" s="52">
        <f>'Worksheet - General Fund (010)'!F97</f>
        <v>0</v>
      </c>
      <c r="E91" s="52">
        <f>'Worksheet - General Fund (010)'!G97</f>
        <v>11650</v>
      </c>
      <c r="F91" s="52">
        <f>'Worksheet - General Fund (010)'!H97</f>
        <v>12709.090909090908</v>
      </c>
      <c r="G91" s="38">
        <f>'Worksheet - General Fund (010)'!I97</f>
        <v>5000</v>
      </c>
    </row>
    <row r="92" spans="1:7">
      <c r="A92" s="70" t="s">
        <v>162</v>
      </c>
      <c r="B92" s="59">
        <v>8965</v>
      </c>
      <c r="C92" s="52">
        <f>'Worksheet - General Fund (010)'!E98</f>
        <v>7500</v>
      </c>
      <c r="D92" s="52">
        <f>'Worksheet - General Fund (010)'!F98</f>
        <v>0</v>
      </c>
      <c r="E92" s="52">
        <f>'Worksheet - General Fund (010)'!G98</f>
        <v>572</v>
      </c>
      <c r="F92" s="52">
        <f>'Worksheet - General Fund (010)'!H98</f>
        <v>624</v>
      </c>
      <c r="G92" s="38">
        <f>'Worksheet - General Fund (010)'!I98</f>
        <v>7500</v>
      </c>
    </row>
    <row r="93" spans="1:7" ht="15.75" thickBot="1">
      <c r="A93" s="18" t="s">
        <v>886</v>
      </c>
      <c r="B93" s="104">
        <f>SUM(B85:B92)</f>
        <v>28950</v>
      </c>
      <c r="C93" s="54">
        <f t="shared" ref="C93:F93" si="6">SUM(C85:C92)</f>
        <v>18450</v>
      </c>
      <c r="D93" s="54">
        <f t="shared" si="6"/>
        <v>0</v>
      </c>
      <c r="E93" s="54">
        <f t="shared" si="6"/>
        <v>17762</v>
      </c>
      <c r="F93" s="54">
        <f t="shared" si="6"/>
        <v>20358.545454545452</v>
      </c>
      <c r="G93" s="55">
        <f>SUM(G85:G92)</f>
        <v>19950</v>
      </c>
    </row>
    <row r="94" spans="1:7" ht="15.75" thickTop="1">
      <c r="B94" s="52"/>
      <c r="C94" s="52"/>
      <c r="D94" s="52"/>
      <c r="E94" s="52"/>
      <c r="F94" s="52"/>
      <c r="G94" s="58"/>
    </row>
    <row r="95" spans="1:7">
      <c r="A95" s="18" t="s">
        <v>173</v>
      </c>
      <c r="B95" s="52"/>
      <c r="C95" s="52"/>
      <c r="D95" s="52"/>
      <c r="E95" s="52"/>
      <c r="F95" s="52"/>
      <c r="G95" s="58"/>
    </row>
    <row r="96" spans="1:7" s="25" customFormat="1" ht="12.75">
      <c r="A96" s="70" t="s">
        <v>174</v>
      </c>
      <c r="B96" s="59">
        <v>1.79</v>
      </c>
      <c r="C96" s="52">
        <f>'Worksheet - General Fund (010)'!E103</f>
        <v>5</v>
      </c>
      <c r="D96" s="52">
        <f>'Worksheet - General Fund (010)'!F103</f>
        <v>0</v>
      </c>
      <c r="E96" s="52">
        <f>'Worksheet - General Fund (010)'!G103</f>
        <v>0</v>
      </c>
      <c r="F96" s="52">
        <f>'Worksheet - General Fund (010)'!H103</f>
        <v>0</v>
      </c>
      <c r="G96" s="38">
        <f>'Worksheet - General Fund (010)'!I103</f>
        <v>5</v>
      </c>
    </row>
    <row r="97" spans="1:7">
      <c r="A97" s="70" t="s">
        <v>175</v>
      </c>
      <c r="B97" s="59">
        <v>25.43</v>
      </c>
      <c r="C97" s="52">
        <f>'Worksheet - General Fund (010)'!E104</f>
        <v>20</v>
      </c>
      <c r="D97" s="52">
        <f>'Worksheet - General Fund (010)'!F104</f>
        <v>0</v>
      </c>
      <c r="E97" s="52">
        <f>'Worksheet - General Fund (010)'!G104</f>
        <v>41.54</v>
      </c>
      <c r="F97" s="52">
        <f>'Worksheet - General Fund (010)'!H104</f>
        <v>45.316363636363633</v>
      </c>
      <c r="G97" s="38">
        <f>'Worksheet - General Fund (010)'!I104</f>
        <v>30</v>
      </c>
    </row>
    <row r="98" spans="1:7">
      <c r="A98" s="70" t="s">
        <v>176</v>
      </c>
      <c r="B98" s="59">
        <v>12072.5</v>
      </c>
      <c r="C98" s="52">
        <f>'Worksheet - General Fund (010)'!E105</f>
        <v>10000</v>
      </c>
      <c r="D98" s="52">
        <f>'Worksheet - General Fund (010)'!F105</f>
        <v>0</v>
      </c>
      <c r="E98" s="52">
        <f>'Worksheet - General Fund (010)'!G105</f>
        <v>16003.75</v>
      </c>
      <c r="F98" s="52">
        <f>'Worksheet - General Fund (010)'!H105</f>
        <v>17458.636363636364</v>
      </c>
      <c r="G98" s="38">
        <f>'Worksheet - General Fund (010)'!I105</f>
        <v>15000</v>
      </c>
    </row>
    <row r="99" spans="1:7" ht="15.75" thickBot="1">
      <c r="A99" s="18" t="s">
        <v>887</v>
      </c>
      <c r="B99" s="104">
        <f>SUM(B96:B98)</f>
        <v>12099.72</v>
      </c>
      <c r="C99" s="54">
        <f t="shared" ref="C99:F99" si="7">SUM(C96:C98)</f>
        <v>10025</v>
      </c>
      <c r="D99" s="54">
        <f t="shared" si="7"/>
        <v>0</v>
      </c>
      <c r="E99" s="54">
        <f t="shared" si="7"/>
        <v>16045.29</v>
      </c>
      <c r="F99" s="54">
        <f t="shared" si="7"/>
        <v>17503.952727272728</v>
      </c>
      <c r="G99" s="55">
        <f>SUM(G96:G98)</f>
        <v>15035</v>
      </c>
    </row>
    <row r="100" spans="1:7" ht="15.75" thickTop="1">
      <c r="B100" s="52"/>
      <c r="C100" s="52"/>
      <c r="D100" s="52"/>
      <c r="E100" s="52"/>
      <c r="F100" s="52"/>
    </row>
    <row r="101" spans="1:7">
      <c r="A101" s="18" t="s">
        <v>181</v>
      </c>
      <c r="B101" s="52" t="s">
        <v>13</v>
      </c>
    </row>
    <row r="102" spans="1:7">
      <c r="A102" s="70" t="s">
        <v>686</v>
      </c>
      <c r="B102" s="52">
        <v>0</v>
      </c>
      <c r="C102" s="52">
        <f>'Worksheet - General Fund (010)'!E110</f>
        <v>0</v>
      </c>
      <c r="D102" s="52">
        <f>'Worksheet - General Fund (010)'!F110</f>
        <v>0</v>
      </c>
      <c r="E102" s="52">
        <f>'Worksheet - General Fund (010)'!G110</f>
        <v>0</v>
      </c>
      <c r="F102" s="52">
        <f>'Worksheet - General Fund (010)'!H110</f>
        <v>0</v>
      </c>
      <c r="G102" s="38">
        <f>'Worksheet - General Fund (010)'!I110</f>
        <v>0</v>
      </c>
    </row>
    <row r="103" spans="1:7">
      <c r="A103" s="69" t="s">
        <v>784</v>
      </c>
      <c r="B103" s="52">
        <v>0</v>
      </c>
      <c r="C103" s="52">
        <f>'Worksheet - General Fund (010)'!E111</f>
        <v>209174</v>
      </c>
      <c r="D103" s="52">
        <f>'Worksheet - General Fund (010)'!F111</f>
        <v>0</v>
      </c>
      <c r="E103" s="52">
        <f>'Worksheet - General Fund (010)'!G111</f>
        <v>205506.45</v>
      </c>
      <c r="F103" s="52">
        <f>'Worksheet - General Fund (010)'!H111</f>
        <v>205506.45</v>
      </c>
      <c r="G103" s="38">
        <f>'Worksheet - General Fund (010)'!I111</f>
        <v>0</v>
      </c>
    </row>
    <row r="104" spans="1:7">
      <c r="A104" s="70" t="s">
        <v>182</v>
      </c>
      <c r="B104" s="52">
        <v>0</v>
      </c>
      <c r="C104" s="52">
        <f>'Worksheet - General Fund (010)'!E112</f>
        <v>4000</v>
      </c>
      <c r="D104" s="52">
        <f>'Worksheet - General Fund (010)'!F112</f>
        <v>0</v>
      </c>
      <c r="E104" s="52">
        <f>'Worksheet - General Fund (010)'!G112</f>
        <v>5000</v>
      </c>
      <c r="F104" s="52">
        <f>'Worksheet - General Fund (010)'!H112</f>
        <v>9000</v>
      </c>
      <c r="G104" s="38">
        <f>'Worksheet - General Fund (010)'!I112</f>
        <v>4000</v>
      </c>
    </row>
    <row r="105" spans="1:7" ht="15.75" thickBot="1">
      <c r="A105" s="18" t="s">
        <v>888</v>
      </c>
      <c r="B105" s="54">
        <f>SUM(B102:B104)</f>
        <v>0</v>
      </c>
      <c r="C105" s="54">
        <f t="shared" ref="C105:F105" si="8">SUM(C102:C104)</f>
        <v>213174</v>
      </c>
      <c r="D105" s="54">
        <f t="shared" si="8"/>
        <v>0</v>
      </c>
      <c r="E105" s="54">
        <f t="shared" si="8"/>
        <v>210506.45</v>
      </c>
      <c r="F105" s="54">
        <f t="shared" si="8"/>
        <v>214506.45</v>
      </c>
      <c r="G105" s="55">
        <f>SUM(G102:G104)</f>
        <v>4000</v>
      </c>
    </row>
    <row r="106" spans="1:7" ht="15.75" thickTop="1">
      <c r="B106" s="52"/>
      <c r="C106" s="52"/>
      <c r="D106" s="52"/>
      <c r="E106" s="52"/>
      <c r="F106" s="52"/>
    </row>
    <row r="107" spans="1:7">
      <c r="A107" s="18" t="s">
        <v>184</v>
      </c>
      <c r="B107" s="52"/>
      <c r="C107" s="52"/>
      <c r="D107" s="52"/>
      <c r="E107" s="52"/>
      <c r="F107" s="52"/>
    </row>
    <row r="108" spans="1:7">
      <c r="A108" s="70" t="s">
        <v>185</v>
      </c>
      <c r="B108" s="52">
        <v>1582.4</v>
      </c>
      <c r="C108" s="52">
        <f>'Worksheet - General Fund (010)'!E117</f>
        <v>0</v>
      </c>
      <c r="D108" s="52">
        <f>'Worksheet - General Fund (010)'!F117</f>
        <v>0</v>
      </c>
      <c r="E108" s="52">
        <f>'Worksheet - General Fund (010)'!G117</f>
        <v>885</v>
      </c>
      <c r="F108" s="52">
        <f>'Worksheet - General Fund (010)'!H117</f>
        <v>885</v>
      </c>
      <c r="G108" s="38">
        <f>'Worksheet - General Fund (010)'!I117</f>
        <v>0</v>
      </c>
    </row>
    <row r="109" spans="1:7">
      <c r="A109" s="70" t="s">
        <v>186</v>
      </c>
      <c r="B109" s="52">
        <v>0</v>
      </c>
      <c r="C109" s="52">
        <f>'Worksheet - General Fund (010)'!E118</f>
        <v>0</v>
      </c>
      <c r="D109" s="52">
        <f>'Worksheet - General Fund (010)'!F118</f>
        <v>0</v>
      </c>
      <c r="E109" s="52">
        <f>'Worksheet - General Fund (010)'!G118</f>
        <v>0</v>
      </c>
      <c r="F109" s="52">
        <f>'Worksheet - General Fund (010)'!H118</f>
        <v>0</v>
      </c>
      <c r="G109" s="38">
        <f>'Worksheet - General Fund (010)'!I118</f>
        <v>0</v>
      </c>
    </row>
    <row r="110" spans="1:7">
      <c r="A110" s="70" t="s">
        <v>187</v>
      </c>
      <c r="B110" s="53">
        <v>0</v>
      </c>
      <c r="C110" s="52">
        <f>'Worksheet - General Fund (010)'!E119</f>
        <v>0</v>
      </c>
      <c r="D110" s="52">
        <f>'Worksheet - General Fund (010)'!F119</f>
        <v>0</v>
      </c>
      <c r="E110" s="52">
        <f>'Worksheet - General Fund (010)'!G119</f>
        <v>0</v>
      </c>
      <c r="F110" s="52">
        <f>'Worksheet - General Fund (010)'!H119</f>
        <v>0</v>
      </c>
      <c r="G110" s="38">
        <f>'Worksheet - General Fund (010)'!I119</f>
        <v>0</v>
      </c>
    </row>
    <row r="111" spans="1:7">
      <c r="A111" s="70" t="s">
        <v>188</v>
      </c>
      <c r="B111" s="53">
        <v>0</v>
      </c>
      <c r="C111" s="52">
        <f>'Worksheet - General Fund (010)'!E120</f>
        <v>0</v>
      </c>
      <c r="D111" s="52">
        <f>'Worksheet - General Fund (010)'!F120</f>
        <v>0</v>
      </c>
      <c r="E111" s="52">
        <f>'Worksheet - General Fund (010)'!G120</f>
        <v>500</v>
      </c>
      <c r="F111" s="52">
        <f>'Worksheet - General Fund (010)'!H120</f>
        <v>500</v>
      </c>
      <c r="G111" s="38">
        <f>'Worksheet - General Fund (010)'!I120</f>
        <v>0</v>
      </c>
    </row>
    <row r="112" spans="1:7">
      <c r="A112" s="70" t="s">
        <v>189</v>
      </c>
      <c r="B112" s="52">
        <v>100</v>
      </c>
      <c r="C112" s="52">
        <f>'Worksheet - General Fund (010)'!E121</f>
        <v>0</v>
      </c>
      <c r="D112" s="52">
        <f>'Worksheet - General Fund (010)'!F121</f>
        <v>0</v>
      </c>
      <c r="E112" s="52">
        <f>'Worksheet - General Fund (010)'!G121</f>
        <v>0</v>
      </c>
      <c r="F112" s="52">
        <f>'Worksheet - General Fund (010)'!H121</f>
        <v>0</v>
      </c>
      <c r="G112" s="38">
        <f>'Worksheet - General Fund (010)'!I121</f>
        <v>0</v>
      </c>
    </row>
    <row r="113" spans="1:7" ht="15.75" thickBot="1">
      <c r="A113" s="18" t="s">
        <v>889</v>
      </c>
      <c r="B113" s="104">
        <f>SUM(B108:B112)</f>
        <v>1682.4</v>
      </c>
      <c r="C113" s="54">
        <f t="shared" ref="C113:F113" si="9">SUM(C108:C112)</f>
        <v>0</v>
      </c>
      <c r="D113" s="54">
        <f t="shared" si="9"/>
        <v>0</v>
      </c>
      <c r="E113" s="54">
        <f t="shared" si="9"/>
        <v>1385</v>
      </c>
      <c r="F113" s="54">
        <f t="shared" si="9"/>
        <v>1385</v>
      </c>
      <c r="G113" s="63">
        <f>SUM(G108:G112)</f>
        <v>0</v>
      </c>
    </row>
    <row r="114" spans="1:7" ht="15.75" thickTop="1">
      <c r="B114" s="52"/>
      <c r="C114" s="52"/>
      <c r="D114" s="52"/>
      <c r="E114" s="52"/>
      <c r="F114" s="52"/>
    </row>
    <row r="115" spans="1:7">
      <c r="A115" s="18" t="s">
        <v>195</v>
      </c>
      <c r="B115" s="52"/>
      <c r="C115" s="52"/>
      <c r="D115" s="52"/>
      <c r="E115" s="52"/>
      <c r="F115" s="52"/>
    </row>
    <row r="116" spans="1:7">
      <c r="A116" s="70" t="s">
        <v>196</v>
      </c>
      <c r="B116" s="52">
        <v>6701.65</v>
      </c>
      <c r="C116" s="52">
        <f>'Worksheet - General Fund (010)'!E126</f>
        <v>0</v>
      </c>
      <c r="D116" s="52">
        <f>'Worksheet - General Fund (010)'!F126</f>
        <v>0</v>
      </c>
      <c r="E116" s="52">
        <f>'Worksheet - General Fund (010)'!G126</f>
        <v>659.72</v>
      </c>
      <c r="F116" s="52">
        <f>'Worksheet - General Fund (010)'!H126</f>
        <v>355.25</v>
      </c>
      <c r="G116" s="38">
        <f>'Worksheet - General Fund (010)'!I126</f>
        <v>0</v>
      </c>
    </row>
    <row r="117" spans="1:7">
      <c r="A117" s="70" t="s">
        <v>982</v>
      </c>
      <c r="B117" s="52">
        <v>0</v>
      </c>
      <c r="C117" s="52">
        <v>0</v>
      </c>
      <c r="D117" s="52">
        <v>0</v>
      </c>
      <c r="E117" s="52">
        <f>'Worksheet - General Fund (010)'!G127</f>
        <v>2189.46</v>
      </c>
      <c r="F117" s="52">
        <f>'Worksheet - General Fund (010)'!H127</f>
        <v>2189.46</v>
      </c>
      <c r="G117" s="38">
        <f>'Worksheet - General Fund (010)'!I127</f>
        <v>0</v>
      </c>
    </row>
    <row r="118" spans="1:7">
      <c r="A118" s="70" t="s">
        <v>197</v>
      </c>
      <c r="B118" s="52">
        <v>87705.62</v>
      </c>
      <c r="C118" s="52">
        <f>'Worksheet - General Fund (010)'!E128</f>
        <v>0</v>
      </c>
      <c r="D118" s="52">
        <f>'Worksheet - General Fund (010)'!F128</f>
        <v>0</v>
      </c>
      <c r="E118" s="52">
        <f>'Worksheet - General Fund (010)'!G128</f>
        <v>25845.4</v>
      </c>
      <c r="F118" s="52">
        <f>'Worksheet - General Fund (010)'!H128</f>
        <v>25809.93</v>
      </c>
      <c r="G118" s="38">
        <f>'Worksheet - General Fund (010)'!I128</f>
        <v>0</v>
      </c>
    </row>
    <row r="119" spans="1:7">
      <c r="A119" s="70" t="s">
        <v>983</v>
      </c>
      <c r="B119" s="52">
        <v>0</v>
      </c>
      <c r="C119" s="52">
        <v>0</v>
      </c>
      <c r="D119" s="52">
        <v>0</v>
      </c>
      <c r="E119" s="52">
        <f>'Worksheet - General Fund (010)'!G129</f>
        <v>1200</v>
      </c>
      <c r="F119" s="52">
        <f>'Worksheet - General Fund (010)'!H129</f>
        <v>1200</v>
      </c>
      <c r="G119" s="38">
        <f>'Worksheet - General Fund (010)'!I129</f>
        <v>0</v>
      </c>
    </row>
    <row r="120" spans="1:7" s="25" customFormat="1" ht="12.75">
      <c r="A120" s="70" t="s">
        <v>198</v>
      </c>
      <c r="B120" s="53">
        <v>40000</v>
      </c>
      <c r="C120" s="52">
        <f>'Worksheet - General Fund (010)'!E130</f>
        <v>0</v>
      </c>
      <c r="D120" s="52">
        <f>'Worksheet - General Fund (010)'!F130</f>
        <v>0</v>
      </c>
      <c r="E120" s="52">
        <f>'Worksheet - General Fund (010)'!G130</f>
        <v>0</v>
      </c>
      <c r="F120" s="52">
        <f>'Worksheet - General Fund (010)'!H130</f>
        <v>0</v>
      </c>
      <c r="G120" s="38">
        <f>'Worksheet - General Fund (010)'!I130</f>
        <v>0</v>
      </c>
    </row>
    <row r="121" spans="1:7" ht="15.75" thickBot="1">
      <c r="A121" s="18" t="s">
        <v>812</v>
      </c>
      <c r="B121" s="54">
        <f t="shared" ref="B121:G121" si="10">SUM(B116:B120)</f>
        <v>134407.26999999999</v>
      </c>
      <c r="C121" s="54">
        <f t="shared" si="10"/>
        <v>0</v>
      </c>
      <c r="D121" s="54">
        <f t="shared" si="10"/>
        <v>0</v>
      </c>
      <c r="E121" s="54">
        <f t="shared" si="10"/>
        <v>29894.58</v>
      </c>
      <c r="F121" s="54">
        <f t="shared" si="10"/>
        <v>29554.639999999999</v>
      </c>
      <c r="G121" s="55">
        <f t="shared" si="10"/>
        <v>0</v>
      </c>
    </row>
    <row r="122" spans="1:7" ht="16.5" thickTop="1" thickBot="1">
      <c r="A122" s="18"/>
      <c r="B122" s="54"/>
      <c r="C122" s="54"/>
      <c r="D122" s="54"/>
      <c r="E122" s="54"/>
      <c r="F122" s="54"/>
      <c r="G122" s="55"/>
    </row>
    <row r="123" spans="1:7" ht="16.5" thickTop="1" thickBot="1">
      <c r="A123" s="18" t="s">
        <v>916</v>
      </c>
      <c r="B123" s="104">
        <v>650707</v>
      </c>
      <c r="C123" s="104">
        <v>0</v>
      </c>
      <c r="D123" s="104">
        <f>SUM('Worksheet - Water Fund (020)'!D30:D32)</f>
        <v>0</v>
      </c>
      <c r="E123" s="104">
        <v>200</v>
      </c>
      <c r="F123" s="104">
        <v>200</v>
      </c>
      <c r="G123" s="55">
        <v>0</v>
      </c>
    </row>
    <row r="124" spans="1:7" ht="15.75" thickTop="1">
      <c r="B124" s="52"/>
      <c r="C124" s="52"/>
      <c r="D124" s="52"/>
      <c r="E124" s="52"/>
      <c r="F124" s="52"/>
    </row>
    <row r="125" spans="1:7" ht="15.75" thickBot="1">
      <c r="A125" s="18" t="s">
        <v>858</v>
      </c>
      <c r="B125" s="54">
        <f>B22+B26+B40+B70+B75+B82+B93+B99+B105+B113+B121+B123</f>
        <v>3185207.5700000003</v>
      </c>
      <c r="C125" s="54">
        <f t="shared" ref="C125:G125" si="11">C22+C26+C40+C70+C75+C82+C93+C99+C105+C113+C121+C123</f>
        <v>2387096</v>
      </c>
      <c r="D125" s="54">
        <f t="shared" si="11"/>
        <v>0</v>
      </c>
      <c r="E125" s="54">
        <f t="shared" si="11"/>
        <v>2646016.62</v>
      </c>
      <c r="F125" s="54">
        <f t="shared" si="11"/>
        <v>2858370.28</v>
      </c>
      <c r="G125" s="54">
        <f t="shared" si="11"/>
        <v>2710445</v>
      </c>
    </row>
    <row r="126" spans="1:7" ht="15.75" thickTop="1">
      <c r="A126" s="18"/>
      <c r="B126" s="57"/>
      <c r="C126" s="57"/>
      <c r="D126" s="57"/>
      <c r="E126" s="57"/>
      <c r="F126" s="57"/>
      <c r="G126" s="57"/>
    </row>
    <row r="127" spans="1:7">
      <c r="B127" s="52"/>
      <c r="C127" s="64" t="s">
        <v>13</v>
      </c>
      <c r="D127" s="64"/>
      <c r="E127" s="64" t="s">
        <v>13</v>
      </c>
      <c r="F127" s="64" t="s">
        <v>13</v>
      </c>
    </row>
    <row r="128" spans="1:7">
      <c r="A128" s="18" t="s">
        <v>751</v>
      </c>
      <c r="B128" s="52"/>
      <c r="C128" s="64"/>
      <c r="D128" s="64"/>
      <c r="E128" s="64"/>
      <c r="F128" s="64"/>
    </row>
    <row r="129" spans="1:7" s="25" customFormat="1" ht="12.75">
      <c r="A129" s="21"/>
      <c r="B129" s="52"/>
      <c r="C129" s="52"/>
      <c r="D129" s="52"/>
      <c r="E129" s="52"/>
      <c r="F129" s="52"/>
      <c r="G129" s="44"/>
    </row>
    <row r="130" spans="1:7">
      <c r="A130" s="18" t="s">
        <v>986</v>
      </c>
      <c r="B130" s="52"/>
      <c r="C130" s="52"/>
      <c r="D130" s="52"/>
      <c r="E130" s="52"/>
      <c r="F130" s="52"/>
    </row>
    <row r="131" spans="1:7">
      <c r="A131" s="70" t="s">
        <v>30</v>
      </c>
      <c r="B131" s="59">
        <v>0</v>
      </c>
      <c r="C131" s="59">
        <f>'Worksheet - General Fund (010)'!E143</f>
        <v>0</v>
      </c>
      <c r="D131" s="59">
        <f>'Worksheet - General Fund (010)'!F143</f>
        <v>0</v>
      </c>
      <c r="E131" s="59">
        <f>'Worksheet - General Fund (010)'!G143</f>
        <v>0</v>
      </c>
      <c r="F131" s="59">
        <f>'Worksheet - General Fund (010)'!H143</f>
        <v>0</v>
      </c>
      <c r="G131" s="59">
        <f>'Worksheet - General Fund (010)'!I143</f>
        <v>0</v>
      </c>
    </row>
    <row r="132" spans="1:7">
      <c r="A132" s="70" t="s">
        <v>212</v>
      </c>
      <c r="B132" s="59">
        <v>0</v>
      </c>
      <c r="C132" s="59">
        <f>'Worksheet - General Fund (010)'!E147</f>
        <v>0</v>
      </c>
      <c r="D132" s="59">
        <f>'Worksheet - General Fund (010)'!F147</f>
        <v>0</v>
      </c>
      <c r="E132" s="59">
        <f>'Worksheet - General Fund (010)'!G147</f>
        <v>31535.98</v>
      </c>
      <c r="F132" s="59">
        <f>'Worksheet - General Fund (010)'!H147</f>
        <v>31535.98</v>
      </c>
      <c r="G132" s="59">
        <f>'Worksheet - General Fund (010)'!I147</f>
        <v>0</v>
      </c>
    </row>
    <row r="133" spans="1:7" s="25" customFormat="1" ht="13.5" thickBot="1">
      <c r="A133" s="18" t="s">
        <v>990</v>
      </c>
      <c r="B133" s="54">
        <f>SUM(B131:B132)</f>
        <v>0</v>
      </c>
      <c r="C133" s="54">
        <f>SUM(C131:C132)</f>
        <v>0</v>
      </c>
      <c r="D133" s="54">
        <f t="shared" ref="D133:G133" si="12">SUM(D131:D132)</f>
        <v>0</v>
      </c>
      <c r="E133" s="54">
        <f t="shared" si="12"/>
        <v>31535.98</v>
      </c>
      <c r="F133" s="54">
        <f t="shared" si="12"/>
        <v>31535.98</v>
      </c>
      <c r="G133" s="54">
        <f t="shared" si="12"/>
        <v>0</v>
      </c>
    </row>
    <row r="134" spans="1:7" ht="15.75" thickTop="1">
      <c r="B134" s="52"/>
      <c r="C134" s="52"/>
      <c r="D134" s="52"/>
      <c r="E134" s="52"/>
      <c r="F134" s="52"/>
    </row>
    <row r="135" spans="1:7">
      <c r="A135" s="18" t="s">
        <v>203</v>
      </c>
      <c r="B135" s="52"/>
      <c r="C135" s="52"/>
      <c r="D135" s="52"/>
      <c r="E135" s="52"/>
      <c r="F135" s="52"/>
    </row>
    <row r="136" spans="1:7">
      <c r="A136" s="70" t="s">
        <v>30</v>
      </c>
      <c r="B136" s="59">
        <v>0</v>
      </c>
      <c r="C136" s="59">
        <f>'Worksheet - General Fund (010)'!F161</f>
        <v>0</v>
      </c>
      <c r="D136" s="59">
        <f>'Worksheet - General Fund (010)'!G161</f>
        <v>0</v>
      </c>
      <c r="E136" s="59">
        <f>'Worksheet - General Fund (010)'!H161</f>
        <v>0</v>
      </c>
      <c r="F136" s="59">
        <f>'Worksheet - General Fund (010)'!I161</f>
        <v>0</v>
      </c>
      <c r="G136" s="59">
        <f>'Worksheet - General Fund (010)'!J161</f>
        <v>0</v>
      </c>
    </row>
    <row r="137" spans="1:7">
      <c r="A137" s="70" t="s">
        <v>207</v>
      </c>
      <c r="B137" s="59">
        <v>2029.22</v>
      </c>
      <c r="C137" s="59">
        <f>'Worksheet - General Fund (010)'!E165</f>
        <v>3000</v>
      </c>
      <c r="D137" s="59">
        <f>'Worksheet - General Fund (010)'!F165</f>
        <v>0</v>
      </c>
      <c r="E137" s="59">
        <f>'Worksheet - General Fund (010)'!G165</f>
        <v>149.22</v>
      </c>
      <c r="F137" s="59">
        <f>'Worksheet - General Fund (010)'!H165</f>
        <v>149.22</v>
      </c>
      <c r="G137" s="59">
        <f>'Worksheet - General Fund (010)'!I165</f>
        <v>1000</v>
      </c>
    </row>
    <row r="138" spans="1:7" s="25" customFormat="1" ht="13.5" thickBot="1">
      <c r="A138" s="18" t="s">
        <v>890</v>
      </c>
      <c r="B138" s="54">
        <f>SUM(B136:B137)</f>
        <v>2029.22</v>
      </c>
      <c r="C138" s="54">
        <f>SUM(C136:C137)</f>
        <v>3000</v>
      </c>
      <c r="D138" s="54">
        <f t="shared" ref="D138:G138" si="13">SUM(D136:D137)</f>
        <v>0</v>
      </c>
      <c r="E138" s="54">
        <f t="shared" si="13"/>
        <v>149.22</v>
      </c>
      <c r="F138" s="54">
        <f t="shared" si="13"/>
        <v>149.22</v>
      </c>
      <c r="G138" s="54">
        <f t="shared" si="13"/>
        <v>1000</v>
      </c>
    </row>
    <row r="139" spans="1:7" ht="15.75" thickTop="1">
      <c r="B139" s="52"/>
      <c r="C139" s="52"/>
      <c r="D139" s="52"/>
      <c r="E139" s="52"/>
      <c r="F139" s="52"/>
    </row>
    <row r="140" spans="1:7">
      <c r="A140" s="18" t="s">
        <v>211</v>
      </c>
      <c r="B140" s="52"/>
      <c r="C140" s="52"/>
      <c r="D140" s="52"/>
      <c r="E140" s="52"/>
      <c r="F140" s="52"/>
    </row>
    <row r="141" spans="1:7">
      <c r="A141" s="70" t="s">
        <v>30</v>
      </c>
      <c r="B141" s="59">
        <f>4087.02+312.66</f>
        <v>4399.68</v>
      </c>
      <c r="C141" s="59">
        <f>'Worksheet - General Fund (010)'!E179</f>
        <v>5113</v>
      </c>
      <c r="D141" s="59">
        <f>'Worksheet - General Fund (010)'!F179</f>
        <v>0</v>
      </c>
      <c r="E141" s="59">
        <f>'Worksheet - General Fund (010)'!G179</f>
        <v>3644.8599999999997</v>
      </c>
      <c r="F141" s="59">
        <f>'Worksheet - General Fund (010)'!H179</f>
        <v>3948.6298095833331</v>
      </c>
      <c r="G141" s="59">
        <f>'Worksheet - General Fund (010)'!I179</f>
        <v>6997.25</v>
      </c>
    </row>
    <row r="142" spans="1:7">
      <c r="A142" s="70" t="s">
        <v>210</v>
      </c>
      <c r="B142" s="59">
        <f>40+4800</f>
        <v>4840</v>
      </c>
      <c r="C142" s="59">
        <f>'Worksheet - General Fund (010)'!E183</f>
        <v>4800</v>
      </c>
      <c r="D142" s="59">
        <f>'Worksheet - General Fund (010)'!F183</f>
        <v>0</v>
      </c>
      <c r="E142" s="59">
        <f>'Worksheet - General Fund (010)'!G183</f>
        <v>4000</v>
      </c>
      <c r="F142" s="59">
        <f>'Worksheet - General Fund (010)'!H183</f>
        <v>4800</v>
      </c>
      <c r="G142" s="59">
        <f>'Worksheet - General Fund (010)'!I183</f>
        <v>4800</v>
      </c>
    </row>
    <row r="143" spans="1:7">
      <c r="A143" s="70" t="s">
        <v>212</v>
      </c>
      <c r="B143" s="59">
        <f>63.4</f>
        <v>63.4</v>
      </c>
      <c r="C143" s="59">
        <f>'Worksheet - General Fund (010)'!E191</f>
        <v>65</v>
      </c>
      <c r="D143" s="59">
        <f>'Worksheet - General Fund (010)'!F191</f>
        <v>0</v>
      </c>
      <c r="E143" s="59">
        <f>'Worksheet - General Fund (010)'!G191</f>
        <v>1324.35</v>
      </c>
      <c r="F143" s="59">
        <f>'Worksheet - General Fund (010)'!H191</f>
        <v>1350</v>
      </c>
      <c r="G143" s="59">
        <f>'Worksheet - General Fund (010)'!I191</f>
        <v>100</v>
      </c>
    </row>
    <row r="144" spans="1:7">
      <c r="A144" s="70" t="s">
        <v>1114</v>
      </c>
      <c r="B144" s="59">
        <v>0</v>
      </c>
      <c r="C144" s="59">
        <f>'Worksheet - General Fund (010)'!E187</f>
        <v>50</v>
      </c>
      <c r="D144" s="59">
        <f>'Worksheet - General Fund (010)'!F187</f>
        <v>0</v>
      </c>
      <c r="E144" s="59">
        <f>'Worksheet - General Fund (010)'!G187</f>
        <v>0</v>
      </c>
      <c r="F144" s="59">
        <f>'Worksheet - General Fund (010)'!H187</f>
        <v>0</v>
      </c>
      <c r="G144" s="59">
        <f>'Worksheet - General Fund (010)'!I187</f>
        <v>0</v>
      </c>
    </row>
    <row r="145" spans="1:9" ht="15.75" thickBot="1">
      <c r="A145" s="18" t="s">
        <v>891</v>
      </c>
      <c r="B145" s="54">
        <f>SUM(B141:B144)</f>
        <v>9303.08</v>
      </c>
      <c r="C145" s="54">
        <f t="shared" ref="C145:G145" si="14">SUM(C141:C144)</f>
        <v>10028</v>
      </c>
      <c r="D145" s="54">
        <f t="shared" si="14"/>
        <v>0</v>
      </c>
      <c r="E145" s="54">
        <f t="shared" si="14"/>
        <v>8969.2099999999991</v>
      </c>
      <c r="F145" s="54">
        <f t="shared" si="14"/>
        <v>10098.629809583334</v>
      </c>
      <c r="G145" s="54">
        <f t="shared" si="14"/>
        <v>11897.25</v>
      </c>
    </row>
    <row r="146" spans="1:9" ht="15.75" thickTop="1">
      <c r="B146" s="57"/>
      <c r="C146" s="52"/>
      <c r="D146" s="52"/>
      <c r="E146" s="52"/>
      <c r="F146" s="52"/>
    </row>
    <row r="147" spans="1:9">
      <c r="A147" s="18" t="s">
        <v>220</v>
      </c>
      <c r="B147" s="52"/>
      <c r="C147" s="52"/>
      <c r="D147" s="52"/>
      <c r="E147" s="52"/>
      <c r="F147" s="52"/>
    </row>
    <row r="148" spans="1:9">
      <c r="A148" s="70" t="s">
        <v>210</v>
      </c>
      <c r="B148" s="59">
        <v>5051.7700000000004</v>
      </c>
      <c r="C148" s="59">
        <f>'Worksheet - General Fund (010)'!E199</f>
        <v>0</v>
      </c>
      <c r="D148" s="59">
        <f>'Worksheet - General Fund (010)'!F199</f>
        <v>0</v>
      </c>
      <c r="E148" s="59">
        <f>'Worksheet - General Fund (010)'!G199</f>
        <v>0</v>
      </c>
      <c r="F148" s="59">
        <f>'Worksheet - General Fund (010)'!H199</f>
        <v>0</v>
      </c>
      <c r="G148" s="59">
        <f>'Worksheet - General Fund (010)'!I199</f>
        <v>0</v>
      </c>
    </row>
    <row r="149" spans="1:9" ht="15.75" thickBot="1">
      <c r="A149" s="18" t="s">
        <v>892</v>
      </c>
      <c r="B149" s="54">
        <f>SUM(B148)</f>
        <v>5051.7700000000004</v>
      </c>
      <c r="C149" s="54">
        <f>SUM(C148)</f>
        <v>0</v>
      </c>
      <c r="D149" s="54">
        <f t="shared" ref="D149:G149" si="15">SUM(D148)</f>
        <v>0</v>
      </c>
      <c r="E149" s="54">
        <f t="shared" si="15"/>
        <v>0</v>
      </c>
      <c r="F149" s="54">
        <f t="shared" si="15"/>
        <v>0</v>
      </c>
      <c r="G149" s="54">
        <f t="shared" si="15"/>
        <v>0</v>
      </c>
    </row>
    <row r="150" spans="1:9" ht="15.75" thickTop="1">
      <c r="B150" s="52"/>
      <c r="C150" s="52"/>
      <c r="D150" s="52"/>
      <c r="E150" s="52"/>
      <c r="F150" s="52"/>
    </row>
    <row r="151" spans="1:9">
      <c r="A151" s="18" t="s">
        <v>222</v>
      </c>
      <c r="B151" s="52"/>
      <c r="C151" s="52"/>
      <c r="D151" s="52"/>
      <c r="E151" s="52"/>
      <c r="F151" s="52"/>
    </row>
    <row r="152" spans="1:9">
      <c r="A152" s="70" t="s">
        <v>30</v>
      </c>
      <c r="B152" s="52">
        <f>36742.67+16495.29+5797.84+4606+27956.3+23113.47+139454.51</f>
        <v>254166.08000000002</v>
      </c>
      <c r="C152" s="59">
        <f>'Worksheet - General Fund (010)'!E217</f>
        <v>276442.5</v>
      </c>
      <c r="D152" s="59">
        <f>'Worksheet - General Fund (010)'!F217</f>
        <v>0</v>
      </c>
      <c r="E152" s="59">
        <f>'Worksheet - General Fund (010)'!G217</f>
        <v>261134.7</v>
      </c>
      <c r="F152" s="59">
        <f>'Worksheet - General Fund (010)'!H217</f>
        <v>284592.31914287881</v>
      </c>
      <c r="G152" s="59">
        <f>'Worksheet - General Fund (010)'!I217</f>
        <v>294983.5</v>
      </c>
    </row>
    <row r="153" spans="1:9">
      <c r="A153" s="70" t="s">
        <v>207</v>
      </c>
      <c r="B153" s="52">
        <f>0+2712+3028.82</f>
        <v>5740.82</v>
      </c>
      <c r="C153" s="59">
        <f>'Worksheet - General Fund (010)'!E221</f>
        <v>8000</v>
      </c>
      <c r="D153" s="59">
        <f>'Worksheet - General Fund (010)'!F221</f>
        <v>0</v>
      </c>
      <c r="E153" s="59">
        <f>'Worksheet - General Fund (010)'!G221</f>
        <v>2990.03</v>
      </c>
      <c r="F153" s="59">
        <f>'Worksheet - General Fund (010)'!H221</f>
        <v>3261.8509090909092</v>
      </c>
      <c r="G153" s="59">
        <f>'Worksheet - General Fund (010)'!I221</f>
        <v>5000</v>
      </c>
    </row>
    <row r="154" spans="1:9">
      <c r="A154" s="70" t="s">
        <v>210</v>
      </c>
      <c r="B154" s="52">
        <f>5274.08+7414.72+3288.43+640+22074.04+16416.23+85088.58+0+7934.26+6865.36+13488.2+1793.94+6610.69+7933.95+3095.96+7586.16+2203.36+3165.17+1659.74+10745.64+9561.29+7235.63+35119+990</f>
        <v>266184.43000000005</v>
      </c>
      <c r="C154" s="59">
        <f>'Worksheet - General Fund (010)'!E249</f>
        <v>241480</v>
      </c>
      <c r="D154" s="59">
        <f>'Worksheet - General Fund (010)'!F249</f>
        <v>0</v>
      </c>
      <c r="E154" s="59">
        <f>'Worksheet - General Fund (010)'!G249</f>
        <v>208846.07</v>
      </c>
      <c r="F154" s="59">
        <f>'Worksheet - General Fund (010)'!H249</f>
        <v>227751.55727272728</v>
      </c>
      <c r="G154" s="59">
        <f>'Worksheet - General Fund (010)'!I249</f>
        <v>189060</v>
      </c>
    </row>
    <row r="155" spans="1:9">
      <c r="A155" s="70" t="s">
        <v>212</v>
      </c>
      <c r="B155" s="52">
        <f>0+6819.98+2235.78+106.06</f>
        <v>9161.82</v>
      </c>
      <c r="C155" s="59">
        <f>'Worksheet - General Fund (010)'!E255</f>
        <v>8600</v>
      </c>
      <c r="D155" s="59">
        <f>'Worksheet - General Fund (010)'!F255</f>
        <v>0</v>
      </c>
      <c r="E155" s="59">
        <f>'Worksheet - General Fund (010)'!G255</f>
        <v>7903.83</v>
      </c>
      <c r="F155" s="59">
        <f>'Worksheet - General Fund (010)'!H255</f>
        <v>8622.36</v>
      </c>
      <c r="G155" s="59">
        <f>'Worksheet - General Fund (010)'!I255</f>
        <v>8350</v>
      </c>
    </row>
    <row r="156" spans="1:9">
      <c r="A156" s="70" t="s">
        <v>717</v>
      </c>
      <c r="B156" s="59">
        <f>1369.42</f>
        <v>1369.42</v>
      </c>
      <c r="C156" s="59">
        <f>'Worksheet - General Fund (010)'!E260</f>
        <v>1500</v>
      </c>
      <c r="D156" s="59">
        <f>'Worksheet - General Fund (010)'!F260</f>
        <v>0</v>
      </c>
      <c r="E156" s="59">
        <f>'Worksheet - General Fund (010)'!G260</f>
        <v>290</v>
      </c>
      <c r="F156" s="59">
        <f>'Worksheet - General Fund (010)'!H260</f>
        <v>316.36363636363637</v>
      </c>
      <c r="G156" s="59">
        <f>'Worksheet - General Fund (010)'!I260</f>
        <v>1500</v>
      </c>
    </row>
    <row r="157" spans="1:9">
      <c r="A157" s="70" t="s">
        <v>380</v>
      </c>
      <c r="B157" s="59">
        <v>0</v>
      </c>
      <c r="C157" s="59">
        <f>'Worksheet - General Fund (010)'!E264</f>
        <v>3500</v>
      </c>
      <c r="D157" s="59">
        <f>'Worksheet - General Fund (010)'!F264</f>
        <v>0</v>
      </c>
      <c r="E157" s="59">
        <f>'Worksheet - General Fund (010)'!G264</f>
        <v>13579.27</v>
      </c>
      <c r="F157" s="59">
        <f>'Worksheet - General Fund (010)'!H264</f>
        <v>15000</v>
      </c>
      <c r="G157" s="59">
        <f>'Worksheet - General Fund (010)'!I264</f>
        <v>3500</v>
      </c>
    </row>
    <row r="158" spans="1:9">
      <c r="A158" s="70" t="s">
        <v>32</v>
      </c>
      <c r="B158" s="59">
        <v>2000</v>
      </c>
      <c r="C158" s="59">
        <f>'Worksheet - General Fund (010)'!E268</f>
        <v>2000</v>
      </c>
      <c r="D158" s="59">
        <f>'Worksheet - General Fund (010)'!F268</f>
        <v>0</v>
      </c>
      <c r="E158" s="59">
        <f>'Worksheet - General Fund (010)'!G268</f>
        <v>0</v>
      </c>
      <c r="F158" s="59">
        <f>'Worksheet - General Fund (010)'!H268</f>
        <v>0</v>
      </c>
      <c r="G158" s="59">
        <f>'Worksheet - General Fund (010)'!I268</f>
        <v>0</v>
      </c>
    </row>
    <row r="159" spans="1:9">
      <c r="A159" s="70" t="s">
        <v>37</v>
      </c>
      <c r="B159" s="59">
        <v>23877.5</v>
      </c>
      <c r="C159" s="59">
        <f>'Worksheet - General Fund (010)'!E272</f>
        <v>23878</v>
      </c>
      <c r="D159" s="59">
        <f>'Worksheet - General Fund (010)'!F272</f>
        <v>0</v>
      </c>
      <c r="E159" s="59">
        <f>'Worksheet - General Fund (010)'!G272</f>
        <v>23982.06</v>
      </c>
      <c r="F159" s="59">
        <f>'Worksheet - General Fund (010)'!H272</f>
        <v>23982.06</v>
      </c>
      <c r="G159" s="59">
        <f>'Worksheet - General Fund (010)'!I272</f>
        <v>0</v>
      </c>
    </row>
    <row r="160" spans="1:9" ht="15.75" thickBot="1">
      <c r="A160" s="18" t="s">
        <v>893</v>
      </c>
      <c r="B160" s="54">
        <f>SUM(B152:B159)</f>
        <v>562500.07000000007</v>
      </c>
      <c r="C160" s="54">
        <f>SUM(C152:C159)</f>
        <v>565400.5</v>
      </c>
      <c r="D160" s="54">
        <f t="shared" ref="D160:G160" si="16">SUM(D152:D159)</f>
        <v>0</v>
      </c>
      <c r="E160" s="54">
        <f t="shared" si="16"/>
        <v>518725.96000000008</v>
      </c>
      <c r="F160" s="54">
        <f t="shared" si="16"/>
        <v>563526.51096106065</v>
      </c>
      <c r="G160" s="54">
        <f t="shared" si="16"/>
        <v>502393.5</v>
      </c>
      <c r="I160" s="42"/>
    </row>
    <row r="161" spans="1:7" ht="15.75" thickTop="1">
      <c r="A161" s="18"/>
      <c r="B161" s="59"/>
      <c r="C161" s="57"/>
      <c r="D161" s="57"/>
      <c r="E161" s="57"/>
      <c r="F161" s="57"/>
    </row>
    <row r="162" spans="1:7">
      <c r="A162" s="18" t="s">
        <v>699</v>
      </c>
      <c r="B162" s="59"/>
      <c r="C162" s="52"/>
      <c r="D162" s="52"/>
      <c r="E162" s="52"/>
      <c r="F162" s="52"/>
    </row>
    <row r="163" spans="1:7">
      <c r="A163" s="70" t="s">
        <v>30</v>
      </c>
      <c r="B163" s="59">
        <f>5262.3+402.59</f>
        <v>5664.89</v>
      </c>
      <c r="C163" s="59">
        <f>'Worksheet - General Fund (010)'!E287</f>
        <v>20453.5</v>
      </c>
      <c r="D163" s="59">
        <f>'Worksheet - General Fund (010)'!F287</f>
        <v>0</v>
      </c>
      <c r="E163" s="59">
        <f>'Worksheet - General Fund (010)'!G287</f>
        <v>5319.35</v>
      </c>
      <c r="F163" s="59">
        <f>'Worksheet - General Fund (010)'!H287</f>
        <v>5762.5852375000004</v>
      </c>
      <c r="G163" s="59">
        <f>'Worksheet - General Fund (010)'!I287</f>
        <v>9150.25</v>
      </c>
    </row>
    <row r="164" spans="1:7">
      <c r="A164" s="70" t="s">
        <v>212</v>
      </c>
      <c r="B164" s="59">
        <v>4503.05</v>
      </c>
      <c r="C164" s="59">
        <f>'Worksheet - General Fund (010)'!E292</f>
        <v>5500</v>
      </c>
      <c r="D164" s="59">
        <f>'Worksheet - General Fund (010)'!F292</f>
        <v>0</v>
      </c>
      <c r="E164" s="59">
        <f>'Worksheet - General Fund (010)'!G292</f>
        <v>6787.15</v>
      </c>
      <c r="F164" s="59">
        <f>'Worksheet - General Fund (010)'!H292</f>
        <v>6902.3454545454551</v>
      </c>
      <c r="G164" s="59">
        <f>'Worksheet - General Fund (010)'!I292</f>
        <v>2000</v>
      </c>
    </row>
    <row r="165" spans="1:7" ht="15.75" thickBot="1">
      <c r="A165" s="18" t="s">
        <v>894</v>
      </c>
      <c r="B165" s="54">
        <f>SUM(B163:B164)</f>
        <v>10167.94</v>
      </c>
      <c r="C165" s="54">
        <f>SUM(C163:C164)</f>
        <v>25953.5</v>
      </c>
      <c r="D165" s="54">
        <f t="shared" ref="D165:G165" si="17">SUM(D163:D164)</f>
        <v>0</v>
      </c>
      <c r="E165" s="54">
        <f t="shared" si="17"/>
        <v>12106.5</v>
      </c>
      <c r="F165" s="54">
        <f t="shared" si="17"/>
        <v>12664.930692045455</v>
      </c>
      <c r="G165" s="54">
        <f t="shared" si="17"/>
        <v>11150.25</v>
      </c>
    </row>
    <row r="166" spans="1:7" ht="15.75" thickTop="1">
      <c r="B166" s="52"/>
      <c r="C166" s="52"/>
      <c r="D166" s="52"/>
      <c r="E166" s="52"/>
      <c r="F166" s="52"/>
    </row>
    <row r="167" spans="1:7">
      <c r="A167" s="18" t="s">
        <v>700</v>
      </c>
      <c r="B167" s="52"/>
      <c r="C167" s="52"/>
      <c r="D167" s="52"/>
      <c r="E167" s="52"/>
      <c r="F167" s="52"/>
    </row>
    <row r="168" spans="1:7">
      <c r="A168" s="70" t="s">
        <v>30</v>
      </c>
      <c r="B168" s="52">
        <f>270537.6+60568.14+115.98+7301.38+33548.79</f>
        <v>372071.88999999996</v>
      </c>
      <c r="C168" s="59">
        <f>'Worksheet - General Fund (010)'!E313</f>
        <v>394115</v>
      </c>
      <c r="D168" s="59">
        <f>'Worksheet - General Fund (010)'!F313</f>
        <v>0</v>
      </c>
      <c r="E168" s="59">
        <f>'Worksheet - General Fund (010)'!G313</f>
        <v>323915.55</v>
      </c>
      <c r="F168" s="59">
        <f>'Worksheet - General Fund (010)'!H313</f>
        <v>370623.51246333332</v>
      </c>
      <c r="G168" s="59">
        <f>'Worksheet - General Fund (010)'!I313</f>
        <v>458003</v>
      </c>
    </row>
    <row r="169" spans="1:7">
      <c r="A169" s="70" t="s">
        <v>207</v>
      </c>
      <c r="B169" s="59">
        <f>3079+888.15+29229.42</f>
        <v>33196.57</v>
      </c>
      <c r="C169" s="59">
        <f>'Worksheet - General Fund (010)'!E317</f>
        <v>2000</v>
      </c>
      <c r="D169" s="59">
        <f>'Worksheet - General Fund (010)'!F317</f>
        <v>0</v>
      </c>
      <c r="E169" s="59">
        <f>'Worksheet - General Fund (010)'!G317</f>
        <v>1141.17</v>
      </c>
      <c r="F169" s="59">
        <f>'Worksheet - General Fund (010)'!H317</f>
        <v>1244.9127272727274</v>
      </c>
      <c r="G169" s="59">
        <f>'Worksheet - General Fund (010)'!I317</f>
        <v>2000</v>
      </c>
    </row>
    <row r="170" spans="1:7">
      <c r="A170" s="70" t="s">
        <v>210</v>
      </c>
      <c r="B170" s="59">
        <f>220+0+583.59+1000+721.43+2913.36+1582.35+6400.1+4148.26+3168</f>
        <v>20737.09</v>
      </c>
      <c r="C170" s="59">
        <f>'Worksheet - General Fund (010)'!E333</f>
        <v>19178</v>
      </c>
      <c r="D170" s="59">
        <f>'Worksheet - General Fund (010)'!F333</f>
        <v>0</v>
      </c>
      <c r="E170" s="59">
        <f>'Worksheet - General Fund (010)'!G333</f>
        <v>27948.05</v>
      </c>
      <c r="F170" s="59">
        <f>'Worksheet - General Fund (010)'!H333</f>
        <v>28366.671818181818</v>
      </c>
      <c r="G170" s="59">
        <f>'Worksheet - General Fund (010)'!I333</f>
        <v>23053</v>
      </c>
    </row>
    <row r="171" spans="1:7">
      <c r="A171" s="70" t="s">
        <v>212</v>
      </c>
      <c r="B171" s="59">
        <f>446.32+13700.41</f>
        <v>14146.73</v>
      </c>
      <c r="C171" s="59">
        <f>'Worksheet - General Fund (010)'!E338</f>
        <v>13700</v>
      </c>
      <c r="D171" s="59">
        <f>'Worksheet - General Fund (010)'!F338</f>
        <v>0</v>
      </c>
      <c r="E171" s="59">
        <f>'Worksheet - General Fund (010)'!G338</f>
        <v>7401.6500000000005</v>
      </c>
      <c r="F171" s="59">
        <f>'Worksheet - General Fund (010)'!H338</f>
        <v>8074.5272727272741</v>
      </c>
      <c r="G171" s="59">
        <f>'Worksheet - General Fund (010)'!I338</f>
        <v>10750</v>
      </c>
    </row>
    <row r="172" spans="1:7">
      <c r="A172" s="70" t="s">
        <v>223</v>
      </c>
      <c r="B172" s="59">
        <f>4790+6712.82+3367.5</f>
        <v>14870.32</v>
      </c>
      <c r="C172" s="59">
        <f>'Worksheet - General Fund (010)'!E344</f>
        <v>25000</v>
      </c>
      <c r="D172" s="59">
        <f>'Worksheet - General Fund (010)'!F344</f>
        <v>0</v>
      </c>
      <c r="E172" s="59">
        <f>'Worksheet - General Fund (010)'!G344</f>
        <v>7962.4500000000007</v>
      </c>
      <c r="F172" s="59">
        <f>'Worksheet - General Fund (010)'!H344</f>
        <v>8686.3090909090897</v>
      </c>
      <c r="G172" s="59">
        <f>'Worksheet - General Fund (010)'!I344</f>
        <v>11000</v>
      </c>
    </row>
    <row r="173" spans="1:7">
      <c r="A173" s="70" t="s">
        <v>1115</v>
      </c>
      <c r="B173" s="59">
        <v>0</v>
      </c>
      <c r="C173" s="59">
        <f>'Worksheet - General Fund (010)'!E352</f>
        <v>20300</v>
      </c>
      <c r="D173" s="59">
        <f>'Worksheet - General Fund (010)'!F352</f>
        <v>0</v>
      </c>
      <c r="E173" s="59">
        <f>'Worksheet - General Fund (010)'!G352</f>
        <v>15115.140000000001</v>
      </c>
      <c r="F173" s="59">
        <f>'Worksheet - General Fund (010)'!H352</f>
        <v>16489.243636363637</v>
      </c>
      <c r="G173" s="59">
        <f>'Worksheet - General Fund (010)'!I352</f>
        <v>19800</v>
      </c>
    </row>
    <row r="174" spans="1:7">
      <c r="A174" s="70" t="s">
        <v>32</v>
      </c>
      <c r="B174" s="59">
        <v>4538.96</v>
      </c>
      <c r="C174" s="59">
        <f>'Worksheet - General Fund (010)'!E356</f>
        <v>0</v>
      </c>
      <c r="D174" s="59">
        <f>'Worksheet - General Fund (010)'!F356</f>
        <v>0</v>
      </c>
      <c r="E174" s="59">
        <f>'Worksheet - General Fund (010)'!G356</f>
        <v>0</v>
      </c>
      <c r="F174" s="59">
        <f>'Worksheet - General Fund (010)'!H356</f>
        <v>0</v>
      </c>
      <c r="G174" s="59">
        <f>'Worksheet - General Fund (010)'!I356</f>
        <v>2000</v>
      </c>
    </row>
    <row r="175" spans="1:7">
      <c r="A175" s="70" t="s">
        <v>37</v>
      </c>
      <c r="B175" s="59">
        <v>0</v>
      </c>
      <c r="C175" s="59">
        <f>'Worksheet - General Fund (010)'!E360</f>
        <v>6540</v>
      </c>
      <c r="D175" s="59">
        <f>'Worksheet - General Fund (010)'!F360</f>
        <v>0</v>
      </c>
      <c r="E175" s="59">
        <f>'Worksheet - General Fund (010)'!G360</f>
        <v>5652</v>
      </c>
      <c r="F175" s="59">
        <f>'Worksheet - General Fund (010)'!H360</f>
        <v>5652</v>
      </c>
      <c r="G175" s="59">
        <f>'Worksheet - General Fund (010)'!I360</f>
        <v>7665.67</v>
      </c>
    </row>
    <row r="176" spans="1:7" ht="15.75" thickBot="1">
      <c r="A176" s="18" t="s">
        <v>897</v>
      </c>
      <c r="B176" s="54">
        <f>SUM(B168:B175)</f>
        <v>459561.56</v>
      </c>
      <c r="C176" s="54">
        <f t="shared" ref="C176:G176" si="18">SUM(C168:C175)</f>
        <v>480833</v>
      </c>
      <c r="D176" s="54">
        <f t="shared" si="18"/>
        <v>0</v>
      </c>
      <c r="E176" s="54">
        <f t="shared" si="18"/>
        <v>389136.01</v>
      </c>
      <c r="F176" s="54">
        <f t="shared" si="18"/>
        <v>439137.17700878787</v>
      </c>
      <c r="G176" s="54">
        <f t="shared" si="18"/>
        <v>534271.67000000004</v>
      </c>
    </row>
    <row r="177" spans="1:7" ht="15.75" thickTop="1">
      <c r="B177" s="57"/>
      <c r="C177" s="52"/>
      <c r="D177" s="52"/>
      <c r="E177" s="52"/>
      <c r="F177" s="52"/>
    </row>
    <row r="178" spans="1:7">
      <c r="A178" s="18" t="s">
        <v>895</v>
      </c>
      <c r="B178" s="53" t="s">
        <v>13</v>
      </c>
      <c r="C178" s="52"/>
      <c r="D178" s="52"/>
      <c r="E178" s="52"/>
      <c r="F178" s="52"/>
    </row>
    <row r="179" spans="1:7">
      <c r="A179" s="70" t="s">
        <v>30</v>
      </c>
      <c r="B179" s="52">
        <f>169429.54+42933.37+3401.08+17944.7</f>
        <v>233708.69</v>
      </c>
      <c r="C179" s="59">
        <f>'Worksheet - General Fund (010)'!E380</f>
        <v>246263</v>
      </c>
      <c r="D179" s="59">
        <f>'Worksheet - General Fund (010)'!F380</f>
        <v>0</v>
      </c>
      <c r="E179" s="59">
        <f>'Worksheet - General Fund (010)'!G380</f>
        <v>288524.59999999998</v>
      </c>
      <c r="F179" s="59">
        <f>'Worksheet - General Fund (010)'!H380</f>
        <v>312180.70997321967</v>
      </c>
      <c r="G179" s="59">
        <f>'Worksheet - General Fund (010)'!I380</f>
        <v>282381</v>
      </c>
    </row>
    <row r="180" spans="1:7">
      <c r="A180" s="70" t="s">
        <v>207</v>
      </c>
      <c r="B180" s="52">
        <f>3415.13+1630.75</f>
        <v>5045.88</v>
      </c>
      <c r="C180" s="59">
        <f>'Worksheet - General Fund (010)'!E384</f>
        <v>5000</v>
      </c>
      <c r="D180" s="59">
        <f>'Worksheet - General Fund (010)'!F384</f>
        <v>0</v>
      </c>
      <c r="E180" s="59">
        <f>'Worksheet - General Fund (010)'!G384</f>
        <v>3372.26</v>
      </c>
      <c r="F180" s="59">
        <f>'Worksheet - General Fund (010)'!H384</f>
        <v>3678.8290909090911</v>
      </c>
      <c r="G180" s="59">
        <f>'Worksheet - General Fund (010)'!I384</f>
        <v>4000</v>
      </c>
    </row>
    <row r="181" spans="1:7">
      <c r="A181" s="70" t="s">
        <v>210</v>
      </c>
      <c r="B181" s="52">
        <f>287+0+6548.6+1096.44+1438.89+5019.28</f>
        <v>14390.21</v>
      </c>
      <c r="C181" s="59">
        <f>'Worksheet - General Fund (010)'!E398</f>
        <v>11990</v>
      </c>
      <c r="D181" s="59">
        <f>'Worksheet - General Fund (010)'!F398</f>
        <v>0</v>
      </c>
      <c r="E181" s="59">
        <f>'Worksheet - General Fund (010)'!G398</f>
        <v>24602.28</v>
      </c>
      <c r="F181" s="59">
        <f>'Worksheet - General Fund (010)'!H398</f>
        <v>25921.861818181824</v>
      </c>
      <c r="G181" s="59">
        <f>'Worksheet - General Fund (010)'!I398</f>
        <v>23845</v>
      </c>
    </row>
    <row r="182" spans="1:7">
      <c r="A182" s="70" t="s">
        <v>212</v>
      </c>
      <c r="B182" s="52">
        <f>3112.48+2801.75+586.97</f>
        <v>6501.2</v>
      </c>
      <c r="C182" s="59">
        <f>'Worksheet - General Fund (010)'!E404</f>
        <v>6000</v>
      </c>
      <c r="D182" s="59">
        <f>'Worksheet - General Fund (010)'!F404</f>
        <v>0</v>
      </c>
      <c r="E182" s="59">
        <f>'Worksheet - General Fund (010)'!G404</f>
        <v>4342.8</v>
      </c>
      <c r="F182" s="59">
        <f>'Worksheet - General Fund (010)'!H404</f>
        <v>4737.6000000000004</v>
      </c>
      <c r="G182" s="59">
        <f>'Worksheet - General Fund (010)'!I404</f>
        <v>5750</v>
      </c>
    </row>
    <row r="183" spans="1:7">
      <c r="A183" s="70" t="s">
        <v>223</v>
      </c>
      <c r="B183" s="52">
        <f>907.78+2598+1010.96</f>
        <v>4516.74</v>
      </c>
      <c r="C183" s="59">
        <f>'Worksheet - General Fund (010)'!E410</f>
        <v>3000</v>
      </c>
      <c r="D183" s="59">
        <f>'Worksheet - General Fund (010)'!F410</f>
        <v>0</v>
      </c>
      <c r="E183" s="59">
        <f>'Worksheet - General Fund (010)'!G410</f>
        <v>2283.5500000000002</v>
      </c>
      <c r="F183" s="59">
        <f>'Worksheet - General Fund (010)'!H410</f>
        <v>2491.1454545454544</v>
      </c>
      <c r="G183" s="59">
        <f>'Worksheet - General Fund (010)'!I410</f>
        <v>3050</v>
      </c>
    </row>
    <row r="184" spans="1:7">
      <c r="A184" s="70" t="s">
        <v>380</v>
      </c>
      <c r="B184" s="52">
        <v>0</v>
      </c>
      <c r="C184" s="59">
        <f>'Worksheet - General Fund (010)'!E415</f>
        <v>11000</v>
      </c>
      <c r="D184" s="59">
        <f>'Worksheet - General Fund (010)'!F415</f>
        <v>0</v>
      </c>
      <c r="E184" s="59">
        <f>'Worksheet - General Fund (010)'!G415</f>
        <v>10585.18</v>
      </c>
      <c r="F184" s="59">
        <f>'Worksheet - General Fund (010)'!H415</f>
        <v>11547.469090909091</v>
      </c>
      <c r="G184" s="59">
        <f>'Worksheet - General Fund (010)'!I415</f>
        <v>21000</v>
      </c>
    </row>
    <row r="185" spans="1:7">
      <c r="A185" s="70" t="s">
        <v>32</v>
      </c>
      <c r="B185" s="52">
        <f>0+3082</f>
        <v>3082</v>
      </c>
      <c r="C185" s="59">
        <f>'Worksheet - General Fund (010)'!E420</f>
        <v>15000</v>
      </c>
      <c r="D185" s="59">
        <f>'Worksheet - General Fund (010)'!F420</f>
        <v>0</v>
      </c>
      <c r="E185" s="59">
        <f>'Worksheet - General Fund (010)'!G420</f>
        <v>7500</v>
      </c>
      <c r="F185" s="59">
        <f>'Worksheet - General Fund (010)'!H420</f>
        <v>7500</v>
      </c>
      <c r="G185" s="59">
        <f>'Worksheet - General Fund (010)'!I420</f>
        <v>7500</v>
      </c>
    </row>
    <row r="186" spans="1:7">
      <c r="A186" s="70" t="s">
        <v>37</v>
      </c>
      <c r="B186" s="52">
        <v>0</v>
      </c>
      <c r="C186" s="59">
        <f>'Worksheet - General Fund (010)'!E424</f>
        <v>0</v>
      </c>
      <c r="D186" s="59">
        <f>'Worksheet - General Fund (010)'!F424</f>
        <v>0</v>
      </c>
      <c r="E186" s="59">
        <f>'Worksheet - General Fund (010)'!G424</f>
        <v>0</v>
      </c>
      <c r="F186" s="59">
        <f>'Worksheet - General Fund (010)'!H424</f>
        <v>0</v>
      </c>
      <c r="G186" s="59">
        <f>'Worksheet - General Fund (010)'!I424</f>
        <v>0</v>
      </c>
    </row>
    <row r="187" spans="1:7" ht="15.75" thickBot="1">
      <c r="A187" s="18" t="s">
        <v>896</v>
      </c>
      <c r="B187" s="54">
        <f>SUM(B179:B186)</f>
        <v>267244.72000000003</v>
      </c>
      <c r="C187" s="54">
        <f t="shared" ref="C187:G187" si="19">SUM(C179:C186)</f>
        <v>298253</v>
      </c>
      <c r="D187" s="54">
        <f t="shared" si="19"/>
        <v>0</v>
      </c>
      <c r="E187" s="54">
        <f t="shared" si="19"/>
        <v>341210.67</v>
      </c>
      <c r="F187" s="54">
        <f t="shared" si="19"/>
        <v>368057.61542776512</v>
      </c>
      <c r="G187" s="54">
        <f t="shared" si="19"/>
        <v>347526</v>
      </c>
    </row>
    <row r="188" spans="1:7" ht="15.75" thickTop="1">
      <c r="C188" s="52"/>
      <c r="D188" s="52"/>
      <c r="E188" s="52"/>
      <c r="F188" s="52"/>
    </row>
    <row r="189" spans="1:7">
      <c r="A189" s="18" t="s">
        <v>728</v>
      </c>
      <c r="C189" s="52"/>
      <c r="D189" s="52"/>
      <c r="E189" s="52"/>
      <c r="F189" s="52"/>
    </row>
    <row r="190" spans="1:7">
      <c r="A190" s="70" t="s">
        <v>30</v>
      </c>
      <c r="B190" s="52">
        <f>135739.87+30264.1+12532.06</f>
        <v>178536.03</v>
      </c>
      <c r="C190" s="59">
        <f>'Worksheet - General Fund (010)'!E443</f>
        <v>166858</v>
      </c>
      <c r="D190" s="59">
        <f>'Worksheet - General Fund (010)'!F443</f>
        <v>0</v>
      </c>
      <c r="E190" s="59">
        <f>'Worksheet - General Fund (010)'!G443</f>
        <v>179522.93000000002</v>
      </c>
      <c r="F190" s="59">
        <f>'Worksheet - General Fund (010)'!H443</f>
        <v>194512.92584208332</v>
      </c>
      <c r="G190" s="59">
        <f>'Worksheet - General Fund (010)'!I443</f>
        <v>301420</v>
      </c>
    </row>
    <row r="191" spans="1:7">
      <c r="A191" s="70" t="s">
        <v>207</v>
      </c>
      <c r="B191" s="52">
        <f>1774.92+68.74</f>
        <v>1843.66</v>
      </c>
      <c r="C191" s="59">
        <f>'Worksheet - General Fund (010)'!E447</f>
        <v>2000</v>
      </c>
      <c r="D191" s="59">
        <f>'Worksheet - General Fund (010)'!F447</f>
        <v>0</v>
      </c>
      <c r="E191" s="59">
        <f>'Worksheet - General Fund (010)'!G447</f>
        <v>3200</v>
      </c>
      <c r="F191" s="59">
        <f>'Worksheet - General Fund (010)'!H447</f>
        <v>3200</v>
      </c>
      <c r="G191" s="59">
        <f>'Worksheet - General Fund (010)'!I447</f>
        <v>2500</v>
      </c>
    </row>
    <row r="192" spans="1:7">
      <c r="A192" s="70" t="s">
        <v>210</v>
      </c>
      <c r="B192" s="52">
        <f>0+1456.72+4375.08+1052</f>
        <v>6883.8</v>
      </c>
      <c r="C192" s="59">
        <f>'Worksheet - General Fund (010)'!E458</f>
        <v>7790</v>
      </c>
      <c r="D192" s="59">
        <f>'Worksheet - General Fund (010)'!F458</f>
        <v>0</v>
      </c>
      <c r="E192" s="59">
        <f>'Worksheet - General Fund (010)'!G458</f>
        <v>14881.909999999998</v>
      </c>
      <c r="F192" s="59">
        <f>'Worksheet - General Fund (010)'!H458</f>
        <v>17659.608181818185</v>
      </c>
      <c r="G192" s="59">
        <f>'Worksheet - General Fund (010)'!I458</f>
        <v>19115</v>
      </c>
    </row>
    <row r="193" spans="1:8">
      <c r="A193" s="70" t="s">
        <v>212</v>
      </c>
      <c r="B193" s="52">
        <f>642.33+333.15</f>
        <v>975.48</v>
      </c>
      <c r="C193" s="59">
        <f>'Worksheet - General Fund (010)'!E462</f>
        <v>750</v>
      </c>
      <c r="D193" s="59">
        <f>'Worksheet - General Fund (010)'!F462</f>
        <v>0</v>
      </c>
      <c r="E193" s="59">
        <f>'Worksheet - General Fund (010)'!G462</f>
        <v>573.76</v>
      </c>
      <c r="F193" s="59">
        <f>'Worksheet - General Fund (010)'!H462</f>
        <v>625.91999999999996</v>
      </c>
      <c r="G193" s="59">
        <f>'Worksheet - General Fund (010)'!I462</f>
        <v>750</v>
      </c>
    </row>
    <row r="194" spans="1:8">
      <c r="A194" s="70" t="s">
        <v>781</v>
      </c>
      <c r="B194" s="52">
        <v>0</v>
      </c>
      <c r="C194" s="59">
        <f>'Worksheet - General Fund (010)'!E466</f>
        <v>0</v>
      </c>
      <c r="D194" s="59">
        <f>'Worksheet - General Fund (010)'!F466</f>
        <v>0</v>
      </c>
      <c r="E194" s="59">
        <f>'Worksheet - General Fund (010)'!G466</f>
        <v>0</v>
      </c>
      <c r="F194" s="59">
        <f>'Worksheet - General Fund (010)'!H466</f>
        <v>0</v>
      </c>
      <c r="G194" s="59">
        <f>'Worksheet - General Fund (010)'!I466</f>
        <v>500</v>
      </c>
    </row>
    <row r="195" spans="1:8">
      <c r="A195" s="70" t="s">
        <v>380</v>
      </c>
      <c r="B195" s="52">
        <v>0</v>
      </c>
      <c r="C195" s="59">
        <f>'Worksheet - General Fund (010)'!E471</f>
        <v>1400</v>
      </c>
      <c r="D195" s="59">
        <f>'Worksheet - General Fund (010)'!F471</f>
        <v>0</v>
      </c>
      <c r="E195" s="59">
        <f>'Worksheet - General Fund (010)'!G471</f>
        <v>878.64</v>
      </c>
      <c r="F195" s="59">
        <f>'Worksheet - General Fund (010)'!H471</f>
        <v>958.51636363636362</v>
      </c>
      <c r="G195" s="59">
        <f>'Worksheet - General Fund (010)'!I471</f>
        <v>1150</v>
      </c>
    </row>
    <row r="196" spans="1:8">
      <c r="A196" s="70" t="s">
        <v>32</v>
      </c>
      <c r="B196" s="52">
        <v>0</v>
      </c>
      <c r="C196" s="59">
        <f>'Worksheet - General Fund (010)'!E475</f>
        <v>0</v>
      </c>
      <c r="D196" s="59">
        <f>'Worksheet - General Fund (010)'!F475</f>
        <v>0</v>
      </c>
      <c r="E196" s="59">
        <f>'Worksheet - General Fund (010)'!G475</f>
        <v>0</v>
      </c>
      <c r="F196" s="59">
        <f>'Worksheet - General Fund (010)'!H475</f>
        <v>0</v>
      </c>
      <c r="G196" s="59">
        <f>'Worksheet - General Fund (010)'!I475</f>
        <v>0</v>
      </c>
    </row>
    <row r="197" spans="1:8">
      <c r="A197" s="70" t="s">
        <v>37</v>
      </c>
      <c r="B197" s="52">
        <v>0</v>
      </c>
      <c r="C197" s="59">
        <f>'Worksheet - General Fund (010)'!E479</f>
        <v>0</v>
      </c>
      <c r="D197" s="59">
        <f>'Worksheet - General Fund (010)'!F479</f>
        <v>0</v>
      </c>
      <c r="E197" s="59">
        <f>'Worksheet - General Fund (010)'!G479</f>
        <v>0</v>
      </c>
      <c r="F197" s="59">
        <f>'Worksheet - General Fund (010)'!H479</f>
        <v>0</v>
      </c>
      <c r="G197" s="59">
        <f>'Worksheet - General Fund (010)'!I479</f>
        <v>0</v>
      </c>
    </row>
    <row r="198" spans="1:8" ht="15.75" thickBot="1">
      <c r="A198" s="18" t="s">
        <v>838</v>
      </c>
      <c r="B198" s="54">
        <f>SUM(B190:B197)</f>
        <v>188238.97</v>
      </c>
      <c r="C198" s="54">
        <f t="shared" ref="C198:G198" si="20">SUM(C190:C197)</f>
        <v>178798</v>
      </c>
      <c r="D198" s="54">
        <f t="shared" si="20"/>
        <v>0</v>
      </c>
      <c r="E198" s="54">
        <f t="shared" si="20"/>
        <v>199057.24000000005</v>
      </c>
      <c r="F198" s="54">
        <f t="shared" si="20"/>
        <v>216956.97038753788</v>
      </c>
      <c r="G198" s="54">
        <f t="shared" si="20"/>
        <v>325435</v>
      </c>
    </row>
    <row r="199" spans="1:8" ht="15.75" thickTop="1">
      <c r="B199" s="52"/>
      <c r="C199" s="52"/>
      <c r="D199" s="52"/>
      <c r="E199" s="52"/>
      <c r="F199" s="52"/>
    </row>
    <row r="200" spans="1:8">
      <c r="A200" s="18" t="s">
        <v>898</v>
      </c>
      <c r="B200" s="52" t="s">
        <v>13</v>
      </c>
      <c r="C200" s="52" t="s">
        <v>13</v>
      </c>
      <c r="D200" s="52" t="s">
        <v>13</v>
      </c>
      <c r="E200" s="52" t="s">
        <v>13</v>
      </c>
      <c r="F200" s="52" t="s">
        <v>13</v>
      </c>
    </row>
    <row r="201" spans="1:8">
      <c r="A201" s="70" t="s">
        <v>30</v>
      </c>
      <c r="B201" s="52">
        <f>8088.8+30578.01+10884.25+1728.28+2047.5</f>
        <v>53326.84</v>
      </c>
      <c r="C201" s="52">
        <f>'Worksheet - General Fund (010)'!E499</f>
        <v>44866</v>
      </c>
      <c r="D201" s="52">
        <f>'Worksheet - General Fund (010)'!F499</f>
        <v>0</v>
      </c>
      <c r="E201" s="52">
        <f>'Worksheet - General Fund (010)'!G499</f>
        <v>38750.15</v>
      </c>
      <c r="F201" s="52">
        <f>'Worksheet - General Fund (010)'!H499</f>
        <v>40889.440222348487</v>
      </c>
      <c r="G201" s="52">
        <f>'Worksheet - General Fund (010)'!I499</f>
        <v>47422.06</v>
      </c>
    </row>
    <row r="202" spans="1:8">
      <c r="A202" s="70" t="s">
        <v>207</v>
      </c>
      <c r="B202" s="52">
        <f>6545.14-179.43</f>
        <v>6365.71</v>
      </c>
      <c r="C202" s="52">
        <f>'Worksheet - General Fund (010)'!E504</f>
        <v>16000</v>
      </c>
      <c r="D202" s="52">
        <f>'Worksheet - General Fund (010)'!F504</f>
        <v>0</v>
      </c>
      <c r="E202" s="52">
        <f>'Worksheet - General Fund (010)'!G504</f>
        <v>3851.42</v>
      </c>
      <c r="F202" s="52">
        <f>'Worksheet - General Fund (010)'!H504</f>
        <v>4201.5490909090913</v>
      </c>
      <c r="G202" s="52">
        <f>'Worksheet - General Fund (010)'!I504</f>
        <v>10000</v>
      </c>
    </row>
    <row r="203" spans="1:8">
      <c r="A203" s="70" t="s">
        <v>210</v>
      </c>
      <c r="B203" s="52">
        <f>584.38+13077+526.01+479.53+0+3264.59+21487.92+266.77</f>
        <v>39686.199999999997</v>
      </c>
      <c r="C203" s="59">
        <f>'Worksheet - General Fund (010)'!E513</f>
        <v>35000</v>
      </c>
      <c r="D203" s="59">
        <f>'Worksheet - General Fund (010)'!F513</f>
        <v>0</v>
      </c>
      <c r="E203" s="59">
        <f>'Worksheet - General Fund (010)'!G513</f>
        <v>54245.19</v>
      </c>
      <c r="F203" s="59">
        <f>'Worksheet - General Fund (010)'!H513</f>
        <v>58969.389090909099</v>
      </c>
      <c r="G203" s="59">
        <f>'Worksheet - General Fund (010)'!I513</f>
        <v>51600</v>
      </c>
    </row>
    <row r="204" spans="1:8">
      <c r="A204" s="70" t="s">
        <v>212</v>
      </c>
      <c r="B204" s="53">
        <f>1110.05+24668.56+4410.73+849.96+8973.66</f>
        <v>40012.959999999999</v>
      </c>
      <c r="C204" s="59">
        <f>'Worksheet - General Fund (010)'!E521</f>
        <v>37300</v>
      </c>
      <c r="D204" s="59">
        <f>'Worksheet - General Fund (010)'!F521</f>
        <v>0</v>
      </c>
      <c r="E204" s="59">
        <f>'Worksheet - General Fund (010)'!G521</f>
        <v>37361.009999999995</v>
      </c>
      <c r="F204" s="59">
        <f>'Worksheet - General Fund (010)'!H521</f>
        <v>39651.202727272728</v>
      </c>
      <c r="G204" s="59">
        <f>'Worksheet - General Fund (010)'!I521</f>
        <v>34550</v>
      </c>
    </row>
    <row r="205" spans="1:8">
      <c r="A205" s="70" t="s">
        <v>223</v>
      </c>
      <c r="B205" s="52">
        <v>11951.75</v>
      </c>
      <c r="C205" s="59">
        <f>'Worksheet - General Fund (010)'!E525</f>
        <v>10000</v>
      </c>
      <c r="D205" s="59">
        <f>'Worksheet - General Fund (010)'!F525</f>
        <v>0</v>
      </c>
      <c r="E205" s="59">
        <f>'Worksheet - General Fund (010)'!G525</f>
        <v>8880.4599999999991</v>
      </c>
      <c r="F205" s="59">
        <f>'Worksheet - General Fund (010)'!H525</f>
        <v>9687.7745454545438</v>
      </c>
      <c r="G205" s="59">
        <f>'Worksheet - General Fund (010)'!I525</f>
        <v>10000</v>
      </c>
    </row>
    <row r="206" spans="1:8">
      <c r="A206" s="70" t="s">
        <v>380</v>
      </c>
      <c r="B206" s="52">
        <v>0</v>
      </c>
      <c r="C206" s="59">
        <f>'Worksheet - General Fund (010)'!E531</f>
        <v>2500</v>
      </c>
      <c r="D206" s="59">
        <f>'Worksheet - General Fund (010)'!F531</f>
        <v>0</v>
      </c>
      <c r="E206" s="59">
        <f>'Worksheet - General Fund (010)'!G531</f>
        <v>2453.1400000000003</v>
      </c>
      <c r="F206" s="59">
        <f>'Worksheet - General Fund (010)'!H531</f>
        <v>2676.1527272727271</v>
      </c>
      <c r="G206" s="59">
        <f>'Worksheet - General Fund (010)'!I531</f>
        <v>2500</v>
      </c>
    </row>
    <row r="207" spans="1:8">
      <c r="A207" s="70" t="s">
        <v>31</v>
      </c>
      <c r="B207" s="58">
        <v>0</v>
      </c>
      <c r="C207" s="59">
        <f>'Worksheet - General Fund (010)'!E537</f>
        <v>232416</v>
      </c>
      <c r="D207" s="59">
        <f>'Worksheet - General Fund (010)'!F537</f>
        <v>0</v>
      </c>
      <c r="E207" s="59">
        <f>'Worksheet - General Fund (010)'!G537</f>
        <v>262461.51</v>
      </c>
      <c r="F207" s="59">
        <f>'Worksheet - General Fund (010)'!H537</f>
        <v>262461.51</v>
      </c>
      <c r="G207" s="59">
        <f>'Worksheet - General Fund (010)'!I537</f>
        <v>0</v>
      </c>
    </row>
    <row r="208" spans="1:8">
      <c r="A208" s="70" t="s">
        <v>37</v>
      </c>
      <c r="B208" s="52">
        <v>0</v>
      </c>
      <c r="C208" s="59">
        <f>'Worksheet - General Fund (010)'!E541</f>
        <v>0</v>
      </c>
      <c r="D208" s="59">
        <f>'Worksheet - General Fund (010)'!F541</f>
        <v>0</v>
      </c>
      <c r="E208" s="59">
        <f>'Worksheet - General Fund (010)'!G541</f>
        <v>0</v>
      </c>
      <c r="F208" s="59">
        <f>'Worksheet - General Fund (010)'!H541</f>
        <v>0</v>
      </c>
      <c r="G208" s="59">
        <f>'Worksheet - General Fund (010)'!I541</f>
        <v>0</v>
      </c>
      <c r="H208" s="40"/>
    </row>
    <row r="209" spans="1:7" ht="15.75" thickBot="1">
      <c r="A209" s="18" t="s">
        <v>899</v>
      </c>
      <c r="B209" s="54">
        <f>SUM(B201:B208)</f>
        <v>151343.46</v>
      </c>
      <c r="C209" s="54">
        <f t="shared" ref="C209:G209" si="21">SUM(C201:C208)</f>
        <v>378082</v>
      </c>
      <c r="D209" s="54">
        <f t="shared" si="21"/>
        <v>0</v>
      </c>
      <c r="E209" s="54">
        <f t="shared" si="21"/>
        <v>408002.88</v>
      </c>
      <c r="F209" s="54">
        <f t="shared" si="21"/>
        <v>418537.01840416668</v>
      </c>
      <c r="G209" s="54">
        <f t="shared" si="21"/>
        <v>156072.06</v>
      </c>
    </row>
    <row r="210" spans="1:7" ht="15.75" thickTop="1">
      <c r="A210" s="18"/>
      <c r="B210" s="58"/>
      <c r="C210" s="57"/>
      <c r="D210" s="57"/>
      <c r="E210" s="57"/>
      <c r="F210" s="57"/>
    </row>
    <row r="211" spans="1:7">
      <c r="A211" s="18" t="s">
        <v>730</v>
      </c>
      <c r="B211" s="52" t="s">
        <v>13</v>
      </c>
      <c r="C211" s="52" t="s">
        <v>13</v>
      </c>
      <c r="D211" s="52" t="s">
        <v>13</v>
      </c>
      <c r="E211" s="52" t="s">
        <v>13</v>
      </c>
      <c r="F211" s="52" t="s">
        <v>13</v>
      </c>
    </row>
    <row r="212" spans="1:7">
      <c r="A212" s="70" t="s">
        <v>30</v>
      </c>
      <c r="B212" s="52">
        <f>179658.33+1459.87+13655.77</f>
        <v>194773.96999999997</v>
      </c>
      <c r="C212" s="52">
        <f>'Worksheet - General Fund (010)'!E560</f>
        <v>179776</v>
      </c>
      <c r="D212" s="52">
        <f>'Worksheet - General Fund (010)'!F560</f>
        <v>0</v>
      </c>
      <c r="E212" s="52">
        <f>'Worksheet - General Fund (010)'!G560</f>
        <v>131455.23000000001</v>
      </c>
      <c r="F212" s="52">
        <f>'Worksheet - General Fund (010)'!H560</f>
        <v>142419.81070416668</v>
      </c>
      <c r="G212" s="52">
        <f>'Worksheet - General Fund (010)'!I560</f>
        <v>135639</v>
      </c>
    </row>
    <row r="213" spans="1:7">
      <c r="A213" s="70" t="s">
        <v>207</v>
      </c>
      <c r="B213" s="52">
        <v>4354.59</v>
      </c>
      <c r="C213" s="52">
        <f>'Worksheet - General Fund (010)'!E564</f>
        <v>3000</v>
      </c>
      <c r="D213" s="52">
        <f>'Worksheet - General Fund (010)'!F564</f>
        <v>0</v>
      </c>
      <c r="E213" s="52">
        <f>'Worksheet - General Fund (010)'!G564</f>
        <v>875</v>
      </c>
      <c r="F213" s="52">
        <f>'Worksheet - General Fund (010)'!H564</f>
        <v>875</v>
      </c>
      <c r="G213" s="52">
        <f>'Worksheet - General Fund (010)'!I564</f>
        <v>2000</v>
      </c>
    </row>
    <row r="214" spans="1:7">
      <c r="A214" s="70" t="s">
        <v>210</v>
      </c>
      <c r="B214" s="52">
        <f>0+0+31705.26+1380+3340.62+0+6826.94</f>
        <v>43252.82</v>
      </c>
      <c r="C214" s="59">
        <f>'Worksheet - General Fund (010)'!E576</f>
        <v>31800</v>
      </c>
      <c r="D214" s="59">
        <f>'Worksheet - General Fund (010)'!F576</f>
        <v>0</v>
      </c>
      <c r="E214" s="59">
        <f>'Worksheet - General Fund (010)'!G576</f>
        <v>31168.09</v>
      </c>
      <c r="F214" s="59">
        <f>'Worksheet - General Fund (010)'!H576</f>
        <v>33921.033636363631</v>
      </c>
      <c r="G214" s="59">
        <f>'Worksheet - General Fund (010)'!I576</f>
        <v>34850</v>
      </c>
    </row>
    <row r="215" spans="1:7">
      <c r="A215" s="70" t="s">
        <v>212</v>
      </c>
      <c r="B215" s="103">
        <f>20474.12+8674.4+4257.25+5592.84+22816.58+971.61</f>
        <v>62786.8</v>
      </c>
      <c r="C215" s="59">
        <f>'Worksheet - General Fund (010)'!E584</f>
        <v>45000</v>
      </c>
      <c r="D215" s="59">
        <f>'Worksheet - General Fund (010)'!F584</f>
        <v>0</v>
      </c>
      <c r="E215" s="59">
        <f>'Worksheet - General Fund (010)'!G584</f>
        <v>35859.040000000001</v>
      </c>
      <c r="F215" s="59">
        <f>'Worksheet - General Fund (010)'!H584</f>
        <v>39118.952727272728</v>
      </c>
      <c r="G215" s="59">
        <f>'Worksheet - General Fund (010)'!I584</f>
        <v>38000</v>
      </c>
    </row>
    <row r="216" spans="1:7">
      <c r="A216" s="70" t="s">
        <v>223</v>
      </c>
      <c r="B216" s="59">
        <f>68900.12+8232.43+3457.15+2289.95+62.46</f>
        <v>82942.109999999986</v>
      </c>
      <c r="C216" s="59">
        <f>'Worksheet - General Fund (010)'!E595</f>
        <v>24900</v>
      </c>
      <c r="D216" s="59">
        <f>'Worksheet - General Fund (010)'!F595</f>
        <v>0</v>
      </c>
      <c r="E216" s="59">
        <f>'Worksheet - General Fund (010)'!G595</f>
        <v>48673.51</v>
      </c>
      <c r="F216" s="59">
        <f>'Worksheet - General Fund (010)'!H595</f>
        <v>53098.374545454535</v>
      </c>
      <c r="G216" s="59">
        <f>'Worksheet - General Fund (010)'!I595</f>
        <v>28050</v>
      </c>
    </row>
    <row r="217" spans="1:7">
      <c r="A217" s="70" t="s">
        <v>380</v>
      </c>
      <c r="B217" s="59">
        <v>0</v>
      </c>
      <c r="C217" s="59">
        <f>'Worksheet - General Fund (010)'!E599</f>
        <v>7000</v>
      </c>
      <c r="D217" s="59">
        <f>'Worksheet - General Fund (010)'!F599</f>
        <v>0</v>
      </c>
      <c r="E217" s="59">
        <f>'Worksheet - General Fund (010)'!G599</f>
        <v>4989.1499999999996</v>
      </c>
      <c r="F217" s="59">
        <f>'Worksheet - General Fund (010)'!H599</f>
        <v>5442.7090909090903</v>
      </c>
      <c r="G217" s="59">
        <f>'Worksheet - General Fund (010)'!I599</f>
        <v>5000</v>
      </c>
    </row>
    <row r="218" spans="1:7">
      <c r="A218" s="70" t="s">
        <v>31</v>
      </c>
      <c r="B218" s="58">
        <v>6712.25</v>
      </c>
      <c r="C218" s="59">
        <f>'Worksheet - General Fund (010)'!E603</f>
        <v>0</v>
      </c>
      <c r="D218" s="59">
        <f>'Worksheet - General Fund (010)'!F603</f>
        <v>0</v>
      </c>
      <c r="E218" s="59">
        <f>'Worksheet - General Fund (010)'!G603</f>
        <v>12500</v>
      </c>
      <c r="F218" s="59">
        <f>'Worksheet - General Fund (010)'!H603</f>
        <v>12500</v>
      </c>
      <c r="G218" s="59">
        <f>'Worksheet - General Fund (010)'!I603</f>
        <v>10000</v>
      </c>
    </row>
    <row r="219" spans="1:7">
      <c r="A219" s="70" t="s">
        <v>37</v>
      </c>
      <c r="B219" s="59">
        <v>17240</v>
      </c>
      <c r="C219" s="59">
        <f>'Worksheet - General Fund (010)'!E607</f>
        <v>10694</v>
      </c>
      <c r="D219" s="59">
        <f>'Worksheet - General Fund (010)'!F607</f>
        <v>0</v>
      </c>
      <c r="E219" s="59">
        <f>'Worksheet - General Fund (010)'!G607</f>
        <v>9202</v>
      </c>
      <c r="F219" s="59">
        <f>'Worksheet - General Fund (010)'!H607</f>
        <v>9202</v>
      </c>
      <c r="G219" s="59">
        <f>'Worksheet - General Fund (010)'!I607</f>
        <v>0</v>
      </c>
    </row>
    <row r="220" spans="1:7" ht="15.75" thickBot="1">
      <c r="A220" s="18" t="s">
        <v>900</v>
      </c>
      <c r="B220" s="54">
        <f>SUM(B212:B219)</f>
        <v>412062.54</v>
      </c>
      <c r="C220" s="54">
        <f t="shared" ref="C220:G220" si="22">SUM(C212:C219)</f>
        <v>302170</v>
      </c>
      <c r="D220" s="54">
        <f t="shared" si="22"/>
        <v>0</v>
      </c>
      <c r="E220" s="54">
        <f t="shared" si="22"/>
        <v>274722.02</v>
      </c>
      <c r="F220" s="54">
        <f t="shared" si="22"/>
        <v>296577.88070416666</v>
      </c>
      <c r="G220" s="54">
        <f t="shared" si="22"/>
        <v>253539</v>
      </c>
    </row>
    <row r="221" spans="1:7" ht="15.75" thickTop="1">
      <c r="A221" s="18"/>
      <c r="B221" s="58"/>
      <c r="C221" s="57"/>
      <c r="D221" s="57"/>
      <c r="E221" s="57"/>
      <c r="F221" s="57"/>
    </row>
    <row r="222" spans="1:7">
      <c r="A222" s="18" t="s">
        <v>875</v>
      </c>
      <c r="B222" s="52" t="s">
        <v>13</v>
      </c>
      <c r="C222" s="52" t="s">
        <v>13</v>
      </c>
      <c r="D222" s="52" t="s">
        <v>13</v>
      </c>
      <c r="E222" s="52" t="s">
        <v>13</v>
      </c>
      <c r="F222" s="52" t="s">
        <v>13</v>
      </c>
    </row>
    <row r="223" spans="1:7">
      <c r="A223" s="70" t="s">
        <v>30</v>
      </c>
      <c r="B223" s="52">
        <f>56612.29+4383.57</f>
        <v>60995.86</v>
      </c>
      <c r="C223" s="52">
        <f>'Worksheet - General Fund (010)'!E625</f>
        <v>51672</v>
      </c>
      <c r="D223" s="52">
        <f>'Worksheet - General Fund (010)'!F625</f>
        <v>0</v>
      </c>
      <c r="E223" s="52">
        <f>'Worksheet - General Fund (010)'!G625</f>
        <v>57059.06</v>
      </c>
      <c r="F223" s="52">
        <f>'Worksheet - General Fund (010)'!H625</f>
        <v>61832.109267499996</v>
      </c>
      <c r="G223" s="52">
        <f>'Worksheet - General Fund (010)'!I625</f>
        <v>62652.3</v>
      </c>
    </row>
    <row r="224" spans="1:7">
      <c r="A224" s="70" t="s">
        <v>210</v>
      </c>
      <c r="B224" s="52">
        <f>3427.96+1816.48</f>
        <v>5244.4400000000005</v>
      </c>
      <c r="C224" s="52">
        <f>'Worksheet - General Fund (010)'!E632</f>
        <v>4100</v>
      </c>
      <c r="D224" s="52">
        <f>'Worksheet - General Fund (010)'!F632</f>
        <v>0</v>
      </c>
      <c r="E224" s="52">
        <f>'Worksheet - General Fund (010)'!G632</f>
        <v>4409.8600000000006</v>
      </c>
      <c r="F224" s="52">
        <f>'Worksheet - General Fund (010)'!H632</f>
        <v>4810.7563636363639</v>
      </c>
      <c r="G224" s="52">
        <f>'Worksheet - General Fund (010)'!I632</f>
        <v>4960</v>
      </c>
    </row>
    <row r="225" spans="1:8">
      <c r="A225" s="70" t="s">
        <v>212</v>
      </c>
      <c r="B225" s="52">
        <f>1326.13+0</f>
        <v>1326.13</v>
      </c>
      <c r="C225" s="59">
        <f>'Worksheet - General Fund (010)'!E637</f>
        <v>2000</v>
      </c>
      <c r="D225" s="59">
        <f>'Worksheet - General Fund (010)'!F637</f>
        <v>0</v>
      </c>
      <c r="E225" s="59">
        <f>'Worksheet - General Fund (010)'!G637</f>
        <v>2355.85</v>
      </c>
      <c r="F225" s="59">
        <f>'Worksheet - General Fund (010)'!H637</f>
        <v>2570.0181818181818</v>
      </c>
      <c r="G225" s="59">
        <f>'Worksheet - General Fund (010)'!I637</f>
        <v>3350</v>
      </c>
    </row>
    <row r="226" spans="1:8">
      <c r="A226" s="70" t="s">
        <v>223</v>
      </c>
      <c r="B226" s="52">
        <f>1079.05</f>
        <v>1079.05</v>
      </c>
      <c r="C226" s="59">
        <f>'Worksheet - General Fund (010)'!E642</f>
        <v>1500</v>
      </c>
      <c r="D226" s="59">
        <f>'Worksheet - General Fund (010)'!F642</f>
        <v>0</v>
      </c>
      <c r="E226" s="59">
        <f>'Worksheet - General Fund (010)'!G642</f>
        <v>1455.25</v>
      </c>
      <c r="F226" s="59">
        <f>'Worksheet - General Fund (010)'!H642</f>
        <v>1587.5454545454545</v>
      </c>
      <c r="G226" s="59">
        <f>'Worksheet - General Fund (010)'!I642</f>
        <v>2000</v>
      </c>
    </row>
    <row r="227" spans="1:8">
      <c r="A227" s="70" t="s">
        <v>380</v>
      </c>
      <c r="B227" s="52">
        <v>0</v>
      </c>
      <c r="C227" s="59">
        <f>'Worksheet - General Fund (010)'!E646</f>
        <v>0</v>
      </c>
      <c r="D227" s="59">
        <f>'Worksheet - General Fund (010)'!F646</f>
        <v>0</v>
      </c>
      <c r="E227" s="59">
        <f>'Worksheet - General Fund (010)'!G646</f>
        <v>0</v>
      </c>
      <c r="F227" s="59">
        <f>'Worksheet - General Fund (010)'!H646</f>
        <v>0</v>
      </c>
      <c r="G227" s="59">
        <f>'Worksheet - General Fund (010)'!I646</f>
        <v>500</v>
      </c>
    </row>
    <row r="228" spans="1:8">
      <c r="A228" s="70" t="s">
        <v>31</v>
      </c>
      <c r="B228" s="58">
        <v>6980</v>
      </c>
      <c r="C228" s="59">
        <f>'Worksheet - General Fund (010)'!E650</f>
        <v>0</v>
      </c>
      <c r="D228" s="59">
        <f>'Worksheet - General Fund (010)'!F650</f>
        <v>0</v>
      </c>
      <c r="E228" s="59">
        <f>'Worksheet - General Fund (010)'!G650</f>
        <v>0</v>
      </c>
      <c r="F228" s="59">
        <f>'Worksheet - General Fund (010)'!H650</f>
        <v>0</v>
      </c>
      <c r="G228" s="59">
        <f>'Worksheet - General Fund (010)'!I650</f>
        <v>0</v>
      </c>
    </row>
    <row r="229" spans="1:8">
      <c r="A229" s="70" t="s">
        <v>37</v>
      </c>
      <c r="B229" s="59">
        <v>23763.360000000001</v>
      </c>
      <c r="C229" s="59">
        <f>'Worksheet - General Fund (010)'!E654</f>
        <v>0</v>
      </c>
      <c r="D229" s="59">
        <f>'Worksheet - General Fund (010)'!F654</f>
        <v>0</v>
      </c>
      <c r="E229" s="59">
        <f>'Worksheet - General Fund (010)'!G654</f>
        <v>0</v>
      </c>
      <c r="F229" s="59">
        <f>'Worksheet - General Fund (010)'!H654</f>
        <v>0</v>
      </c>
      <c r="G229" s="59">
        <f>'Worksheet - General Fund (010)'!I654</f>
        <v>0</v>
      </c>
    </row>
    <row r="230" spans="1:8" ht="15.75" thickBot="1">
      <c r="A230" s="18" t="s">
        <v>901</v>
      </c>
      <c r="B230" s="54">
        <f>SUM(B223:B229)</f>
        <v>99388.840000000011</v>
      </c>
      <c r="C230" s="54">
        <f>SUM(C223:C229)</f>
        <v>59272</v>
      </c>
      <c r="D230" s="54">
        <f t="shared" ref="D230:G230" si="23">SUM(D223:D229)</f>
        <v>0</v>
      </c>
      <c r="E230" s="54">
        <f t="shared" si="23"/>
        <v>65280.02</v>
      </c>
      <c r="F230" s="54">
        <f t="shared" si="23"/>
        <v>70800.429267500003</v>
      </c>
      <c r="G230" s="54">
        <f t="shared" si="23"/>
        <v>73462.3</v>
      </c>
    </row>
    <row r="231" spans="1:8" ht="15.75" thickTop="1">
      <c r="A231" s="18"/>
      <c r="B231" s="58"/>
      <c r="C231" s="57"/>
      <c r="D231" s="57"/>
      <c r="E231" s="57"/>
      <c r="F231" s="57"/>
    </row>
    <row r="232" spans="1:8">
      <c r="A232" s="18" t="s">
        <v>701</v>
      </c>
      <c r="B232" s="52" t="s">
        <v>13</v>
      </c>
      <c r="C232" s="52" t="s">
        <v>13</v>
      </c>
      <c r="D232" s="52" t="s">
        <v>13</v>
      </c>
      <c r="E232" s="52" t="s">
        <v>13</v>
      </c>
      <c r="F232" s="52" t="s">
        <v>13</v>
      </c>
    </row>
    <row r="233" spans="1:8">
      <c r="A233" s="70" t="s">
        <v>30</v>
      </c>
      <c r="B233" s="52">
        <f>35868.23+4066.66</f>
        <v>39934.89</v>
      </c>
      <c r="C233" s="52">
        <f>'Worksheet - General Fund (010)'!E672</f>
        <v>41439</v>
      </c>
      <c r="D233" s="52">
        <f>'Worksheet - General Fund (010)'!F672</f>
        <v>0</v>
      </c>
      <c r="E233" s="52">
        <f>'Worksheet - General Fund (010)'!G672</f>
        <v>65346.67</v>
      </c>
      <c r="F233" s="52">
        <f>'Worksheet - General Fund (010)'!H672</f>
        <v>70542.367702083342</v>
      </c>
      <c r="G233" s="52">
        <f>'Worksheet - General Fund (010)'!I672</f>
        <v>133439.44</v>
      </c>
    </row>
    <row r="234" spans="1:8">
      <c r="A234" s="70" t="s">
        <v>210</v>
      </c>
      <c r="B234" s="52">
        <v>2357.64</v>
      </c>
      <c r="C234" s="52">
        <f>'Worksheet - General Fund (010)'!E680</f>
        <v>5250</v>
      </c>
      <c r="D234" s="52">
        <f>'Worksheet - General Fund (010)'!F680</f>
        <v>0</v>
      </c>
      <c r="E234" s="52">
        <f>'Worksheet - General Fund (010)'!G680</f>
        <v>5062.93</v>
      </c>
      <c r="F234" s="52">
        <f>'Worksheet - General Fund (010)'!H680</f>
        <v>5255.9236363636355</v>
      </c>
      <c r="G234" s="52">
        <f>'Worksheet - General Fund (010)'!I680</f>
        <v>6600</v>
      </c>
    </row>
    <row r="235" spans="1:8">
      <c r="A235" s="70" t="s">
        <v>212</v>
      </c>
      <c r="B235" s="52">
        <f>150+3718+2664.19+2055.16+2175.31</f>
        <v>10762.66</v>
      </c>
      <c r="C235" s="59">
        <f>'Worksheet - General Fund (010)'!E687</f>
        <v>7500</v>
      </c>
      <c r="D235" s="59">
        <f>'Worksheet - General Fund (010)'!F687</f>
        <v>0</v>
      </c>
      <c r="E235" s="59">
        <f>'Worksheet - General Fund (010)'!G687</f>
        <v>7130.8</v>
      </c>
      <c r="F235" s="59">
        <f>'Worksheet - General Fund (010)'!H687</f>
        <v>7779.0545454545463</v>
      </c>
      <c r="G235" s="59">
        <f>'Worksheet - General Fund (010)'!I687</f>
        <v>12750</v>
      </c>
    </row>
    <row r="236" spans="1:8">
      <c r="A236" s="70" t="s">
        <v>781</v>
      </c>
      <c r="B236" s="52">
        <v>0</v>
      </c>
      <c r="C236" s="59">
        <v>0</v>
      </c>
      <c r="D236" s="59">
        <v>0</v>
      </c>
      <c r="E236" s="59">
        <f>'Worksheet - General Fund (010)'!G694</f>
        <v>1788.64</v>
      </c>
      <c r="F236" s="59">
        <f>'Worksheet - General Fund (010)'!H694</f>
        <v>1951.2436363636366</v>
      </c>
      <c r="G236" s="59">
        <f>'Worksheet - General Fund (010)'!I694</f>
        <v>4000</v>
      </c>
    </row>
    <row r="237" spans="1:8">
      <c r="A237" s="70" t="s">
        <v>380</v>
      </c>
      <c r="B237" s="52">
        <f>1279+5162+1493.54+1993.85+1081.46+91.5+326</f>
        <v>11427.349999999999</v>
      </c>
      <c r="C237" s="59">
        <f>'Worksheet - General Fund (010)'!E706</f>
        <v>14000</v>
      </c>
      <c r="D237" s="59">
        <f>'Worksheet - General Fund (010)'!F706</f>
        <v>0</v>
      </c>
      <c r="E237" s="59">
        <f>'Worksheet - General Fund (010)'!G706</f>
        <v>9207.0400000000009</v>
      </c>
      <c r="F237" s="59">
        <f>'Worksheet - General Fund (010)'!H706</f>
        <v>9867.4381818181828</v>
      </c>
      <c r="G237" s="59">
        <f>'Worksheet - General Fund (010)'!I706</f>
        <v>14750</v>
      </c>
    </row>
    <row r="238" spans="1:8" ht="15" customHeight="1">
      <c r="A238" s="70" t="s">
        <v>31</v>
      </c>
      <c r="B238" s="58">
        <v>0</v>
      </c>
      <c r="C238" s="59">
        <f>'Worksheet - General Fund (010)'!E710</f>
        <v>0</v>
      </c>
      <c r="D238" s="59">
        <f>'Worksheet - General Fund (010)'!F710</f>
        <v>0</v>
      </c>
      <c r="E238" s="59">
        <f>'Worksheet - General Fund (010)'!G710</f>
        <v>0</v>
      </c>
      <c r="F238" s="59">
        <f>'Worksheet - General Fund (010)'!H710</f>
        <v>0</v>
      </c>
      <c r="G238" s="59">
        <f>'Worksheet - General Fund (010)'!I710</f>
        <v>0</v>
      </c>
    </row>
    <row r="239" spans="1:8" ht="15" customHeight="1">
      <c r="A239" s="70" t="s">
        <v>37</v>
      </c>
      <c r="B239" s="52">
        <v>0</v>
      </c>
      <c r="C239" s="59">
        <f>'Worksheet - General Fund (010)'!E714</f>
        <v>0</v>
      </c>
      <c r="D239" s="59">
        <f>'Worksheet - General Fund (010)'!F714</f>
        <v>0</v>
      </c>
      <c r="E239" s="59">
        <f>'Worksheet - General Fund (010)'!G714</f>
        <v>0</v>
      </c>
      <c r="F239" s="59">
        <f>'Worksheet - General Fund (010)'!H714</f>
        <v>0</v>
      </c>
      <c r="G239" s="59">
        <f>'Worksheet - General Fund (010)'!I714</f>
        <v>0</v>
      </c>
      <c r="H239" s="94"/>
    </row>
    <row r="240" spans="1:8" ht="15.75" thickBot="1">
      <c r="A240" s="18" t="s">
        <v>902</v>
      </c>
      <c r="B240" s="54">
        <f t="shared" ref="B240:G240" si="24">SUM(B233:B239)</f>
        <v>64482.54</v>
      </c>
      <c r="C240" s="54">
        <f t="shared" si="24"/>
        <v>68189</v>
      </c>
      <c r="D240" s="54">
        <f t="shared" si="24"/>
        <v>0</v>
      </c>
      <c r="E240" s="54">
        <f t="shared" si="24"/>
        <v>88536.080000000016</v>
      </c>
      <c r="F240" s="54">
        <f t="shared" si="24"/>
        <v>95396.027702083346</v>
      </c>
      <c r="G240" s="54">
        <f t="shared" si="24"/>
        <v>171539.44</v>
      </c>
    </row>
    <row r="241" spans="1:7" ht="15.75" thickTop="1">
      <c r="B241" s="52"/>
    </row>
    <row r="242" spans="1:7">
      <c r="A242" s="18" t="s">
        <v>702</v>
      </c>
      <c r="B242" s="52" t="s">
        <v>13</v>
      </c>
      <c r="C242" s="52" t="s">
        <v>13</v>
      </c>
      <c r="D242" s="52" t="s">
        <v>13</v>
      </c>
      <c r="E242" s="52" t="s">
        <v>13</v>
      </c>
      <c r="F242" s="52" t="s">
        <v>13</v>
      </c>
    </row>
    <row r="243" spans="1:7">
      <c r="A243" s="70" t="s">
        <v>30</v>
      </c>
      <c r="B243" s="52">
        <f>22186.33+1447.02</f>
        <v>23633.350000000002</v>
      </c>
      <c r="C243" s="52">
        <f>'Worksheet - General Fund (010)'!E730</f>
        <v>25836</v>
      </c>
      <c r="D243" s="52">
        <f>'Worksheet - General Fund (010)'!F730</f>
        <v>0</v>
      </c>
      <c r="E243" s="52">
        <f>'Worksheet - General Fund (010)'!G730</f>
        <v>20976.420000000002</v>
      </c>
      <c r="F243" s="52">
        <f>'Worksheet - General Fund (010)'!H730</f>
        <v>20976.420000000002</v>
      </c>
      <c r="G243" s="52">
        <f>'Worksheet - General Fund (010)'!I730</f>
        <v>26912.5</v>
      </c>
    </row>
    <row r="244" spans="1:7">
      <c r="A244" s="70" t="s">
        <v>210</v>
      </c>
      <c r="B244" s="52">
        <f>6360.93+6902.35+876.9</f>
        <v>14140.18</v>
      </c>
      <c r="C244" s="52">
        <f>'Worksheet - General Fund (010)'!E737</f>
        <v>11450</v>
      </c>
      <c r="D244" s="52">
        <f>'Worksheet - General Fund (010)'!F737</f>
        <v>0</v>
      </c>
      <c r="E244" s="52">
        <f>'Worksheet - General Fund (010)'!G737</f>
        <v>8187.6600000000008</v>
      </c>
      <c r="F244" s="52">
        <f>'Worksheet - General Fund (010)'!H737</f>
        <v>8931.9927272727273</v>
      </c>
      <c r="G244" s="52">
        <f>'Worksheet - General Fund (010)'!I737</f>
        <v>9650</v>
      </c>
    </row>
    <row r="245" spans="1:7">
      <c r="A245" s="70" t="s">
        <v>212</v>
      </c>
      <c r="B245" s="52">
        <f>4503.88+16660.78</f>
        <v>21164.66</v>
      </c>
      <c r="C245" s="59">
        <f>'Worksheet - General Fund (010)'!E741</f>
        <v>20000</v>
      </c>
      <c r="D245" s="59">
        <f>'Worksheet - General Fund (010)'!F741</f>
        <v>0</v>
      </c>
      <c r="E245" s="59">
        <f>'Worksheet - General Fund (010)'!G741</f>
        <v>18513.14</v>
      </c>
      <c r="F245" s="59">
        <f>'Worksheet - General Fund (010)'!H741</f>
        <v>18513.14</v>
      </c>
      <c r="G245" s="59">
        <f>'Worksheet - General Fund (010)'!I741</f>
        <v>20000</v>
      </c>
    </row>
    <row r="246" spans="1:7">
      <c r="A246" s="70" t="s">
        <v>223</v>
      </c>
      <c r="B246" s="52">
        <v>672.03</v>
      </c>
      <c r="C246" s="59">
        <f>'Worksheet - General Fund (010)'!E746</f>
        <v>1000</v>
      </c>
      <c r="D246" s="59">
        <f>'Worksheet - General Fund (010)'!F746</f>
        <v>0</v>
      </c>
      <c r="E246" s="59">
        <f>'Worksheet - General Fund (010)'!G746</f>
        <v>923.54</v>
      </c>
      <c r="F246" s="59">
        <f>'Worksheet - General Fund (010)'!H746</f>
        <v>923.54</v>
      </c>
      <c r="G246" s="59">
        <f>'Worksheet - General Fund (010)'!I746</f>
        <v>1000</v>
      </c>
    </row>
    <row r="247" spans="1:7">
      <c r="A247" s="70" t="s">
        <v>380</v>
      </c>
      <c r="B247" s="52">
        <v>0</v>
      </c>
      <c r="C247" s="59">
        <f>'Worksheet - General Fund (010)'!E750</f>
        <v>5000</v>
      </c>
      <c r="D247" s="59">
        <f>'Worksheet - General Fund (010)'!F750</f>
        <v>0</v>
      </c>
      <c r="E247" s="59">
        <f>'Worksheet - General Fund (010)'!G750</f>
        <v>802.47</v>
      </c>
      <c r="F247" s="59">
        <f>'Worksheet - General Fund (010)'!H750</f>
        <v>592.63</v>
      </c>
      <c r="G247" s="59">
        <f>'Worksheet - General Fund (010)'!I750</f>
        <v>5000</v>
      </c>
    </row>
    <row r="248" spans="1:7">
      <c r="A248" s="70" t="s">
        <v>31</v>
      </c>
      <c r="B248" s="58">
        <v>0</v>
      </c>
      <c r="C248" s="59">
        <f>'Worksheet - General Fund (010)'!E754</f>
        <v>0</v>
      </c>
      <c r="D248" s="59">
        <f>'Worksheet - General Fund (010)'!F754</f>
        <v>0</v>
      </c>
      <c r="E248" s="59">
        <f>'Worksheet - General Fund (010)'!G754</f>
        <v>0</v>
      </c>
      <c r="F248" s="59">
        <f>'Worksheet - General Fund (010)'!H754</f>
        <v>0</v>
      </c>
      <c r="G248" s="59">
        <f>'Worksheet - General Fund (010)'!I754</f>
        <v>0</v>
      </c>
    </row>
    <row r="249" spans="1:7">
      <c r="A249" s="70" t="s">
        <v>37</v>
      </c>
      <c r="B249" s="52">
        <v>0</v>
      </c>
      <c r="C249" s="59">
        <f>'Worksheet - General Fund (010)'!E758</f>
        <v>0</v>
      </c>
      <c r="D249" s="59">
        <f>'Worksheet - General Fund (010)'!F758</f>
        <v>0</v>
      </c>
      <c r="E249" s="59">
        <f>'Worksheet - General Fund (010)'!G758</f>
        <v>0</v>
      </c>
      <c r="F249" s="59">
        <f>'Worksheet - General Fund (010)'!H758</f>
        <v>0</v>
      </c>
      <c r="G249" s="59">
        <f>'Worksheet - General Fund (010)'!I758</f>
        <v>0</v>
      </c>
    </row>
    <row r="250" spans="1:7" ht="15.75" thickBot="1">
      <c r="A250" s="18" t="s">
        <v>851</v>
      </c>
      <c r="B250" s="54">
        <f>SUM(B243:B249)</f>
        <v>59610.22</v>
      </c>
      <c r="C250" s="54">
        <f>SUM(C243:C249)</f>
        <v>63286</v>
      </c>
      <c r="D250" s="54">
        <f t="shared" ref="D250:G250" si="25">SUM(D243:D249)</f>
        <v>0</v>
      </c>
      <c r="E250" s="54">
        <f t="shared" si="25"/>
        <v>49403.23</v>
      </c>
      <c r="F250" s="54">
        <f t="shared" si="25"/>
        <v>49937.722727272725</v>
      </c>
      <c r="G250" s="54">
        <f t="shared" si="25"/>
        <v>62562.5</v>
      </c>
    </row>
    <row r="251" spans="1:7" ht="15.75" thickTop="1">
      <c r="A251" s="18"/>
      <c r="B251" s="57"/>
      <c r="C251" s="57"/>
      <c r="D251" s="57"/>
      <c r="E251" s="57"/>
      <c r="F251" s="57"/>
    </row>
    <row r="252" spans="1:7">
      <c r="A252" s="18" t="s">
        <v>703</v>
      </c>
      <c r="B252" s="59" t="s">
        <v>13</v>
      </c>
      <c r="C252" s="59" t="s">
        <v>13</v>
      </c>
      <c r="D252" s="59" t="s">
        <v>13</v>
      </c>
      <c r="E252" s="59" t="s">
        <v>13</v>
      </c>
      <c r="F252" s="59" t="s">
        <v>13</v>
      </c>
    </row>
    <row r="253" spans="1:7">
      <c r="A253" s="70" t="s">
        <v>210</v>
      </c>
      <c r="B253" s="52">
        <f>4112.8+19205.84+6938.93+360</f>
        <v>30617.57</v>
      </c>
      <c r="C253" s="52">
        <f>'Worksheet - General Fund (010)'!E770</f>
        <v>27360</v>
      </c>
      <c r="D253" s="52">
        <f>'Worksheet - General Fund (010)'!F770</f>
        <v>0</v>
      </c>
      <c r="E253" s="52">
        <f>'Worksheet - General Fund (010)'!G770</f>
        <v>25797.98</v>
      </c>
      <c r="F253" s="52">
        <f>'Worksheet - General Fund (010)'!H770</f>
        <v>28110.52363636364</v>
      </c>
      <c r="G253" s="52">
        <f>'Worksheet - General Fund (010)'!I770</f>
        <v>28950</v>
      </c>
    </row>
    <row r="254" spans="1:7">
      <c r="A254" s="70" t="s">
        <v>212</v>
      </c>
      <c r="B254" s="52">
        <v>1445.02</v>
      </c>
      <c r="C254" s="59">
        <f>'Worksheet - General Fund (010)'!E774</f>
        <v>2500</v>
      </c>
      <c r="D254" s="59">
        <f>'Worksheet - General Fund (010)'!F774</f>
        <v>0</v>
      </c>
      <c r="E254" s="59">
        <f>'Worksheet - General Fund (010)'!G774</f>
        <v>1283.97</v>
      </c>
      <c r="F254" s="59">
        <f>'Worksheet - General Fund (010)'!H774</f>
        <v>1283.97</v>
      </c>
      <c r="G254" s="59">
        <f>'Worksheet - General Fund (010)'!I774</f>
        <v>2500</v>
      </c>
    </row>
    <row r="255" spans="1:7">
      <c r="A255" s="70" t="s">
        <v>223</v>
      </c>
      <c r="B255" s="52">
        <v>7301.32</v>
      </c>
      <c r="C255" s="59">
        <f>'Worksheet - General Fund (010)'!E779</f>
        <v>7000</v>
      </c>
      <c r="D255" s="59">
        <f>'Worksheet - General Fund (010)'!F779</f>
        <v>0</v>
      </c>
      <c r="E255" s="59">
        <f>'Worksheet - General Fund (010)'!G779</f>
        <v>481.94</v>
      </c>
      <c r="F255" s="59">
        <f>'Worksheet - General Fund (010)'!H779</f>
        <v>481.94</v>
      </c>
      <c r="G255" s="59">
        <f>'Worksheet - General Fund (010)'!I779</f>
        <v>7000</v>
      </c>
    </row>
    <row r="256" spans="1:7">
      <c r="A256" s="70" t="s">
        <v>31</v>
      </c>
      <c r="B256" s="58">
        <v>0</v>
      </c>
      <c r="C256" s="59">
        <f>'Worksheet - General Fund (010)'!E783</f>
        <v>0</v>
      </c>
      <c r="D256" s="59">
        <f>'Worksheet - General Fund (010)'!F783</f>
        <v>0</v>
      </c>
      <c r="E256" s="59">
        <f>'Worksheet - General Fund (010)'!G783</f>
        <v>2000</v>
      </c>
      <c r="F256" s="59">
        <f>'Worksheet - General Fund (010)'!H783</f>
        <v>2000</v>
      </c>
      <c r="G256" s="59">
        <f>'Worksheet - General Fund (010)'!I783</f>
        <v>0</v>
      </c>
    </row>
    <row r="257" spans="1:7" ht="15.75" thickBot="1">
      <c r="A257" s="18" t="s">
        <v>903</v>
      </c>
      <c r="B257" s="54">
        <f t="shared" ref="B257:G257" si="26">SUM(B253:B256)</f>
        <v>39363.910000000003</v>
      </c>
      <c r="C257" s="54">
        <f t="shared" si="26"/>
        <v>36860</v>
      </c>
      <c r="D257" s="54">
        <f t="shared" si="26"/>
        <v>0</v>
      </c>
      <c r="E257" s="54">
        <f t="shared" si="26"/>
        <v>29563.89</v>
      </c>
      <c r="F257" s="54">
        <f t="shared" si="26"/>
        <v>31876.433636363639</v>
      </c>
      <c r="G257" s="54">
        <f t="shared" si="26"/>
        <v>38450</v>
      </c>
    </row>
    <row r="258" spans="1:7" ht="15.75" thickTop="1">
      <c r="A258" s="18"/>
      <c r="B258" s="57"/>
      <c r="C258" s="57"/>
      <c r="D258" s="57"/>
      <c r="E258" s="57"/>
      <c r="F258" s="57"/>
    </row>
    <row r="259" spans="1:7">
      <c r="A259" s="18" t="s">
        <v>704</v>
      </c>
      <c r="B259" s="52" t="s">
        <v>13</v>
      </c>
      <c r="C259" s="52" t="s">
        <v>13</v>
      </c>
      <c r="D259" s="52" t="s">
        <v>13</v>
      </c>
      <c r="E259" s="52" t="s">
        <v>13</v>
      </c>
      <c r="F259" s="52" t="s">
        <v>13</v>
      </c>
    </row>
    <row r="260" spans="1:7">
      <c r="A260" s="70" t="s">
        <v>30</v>
      </c>
      <c r="B260" s="52">
        <f>13587.48+1039.3</f>
        <v>14626.779999999999</v>
      </c>
      <c r="C260" s="52">
        <f>'Worksheet - General Fund (010)'!E799</f>
        <v>6890</v>
      </c>
      <c r="D260" s="52">
        <f>'Worksheet - General Fund (010)'!F799</f>
        <v>0</v>
      </c>
      <c r="E260" s="52">
        <f>'Worksheet - General Fund (010)'!G799</f>
        <v>1343.44</v>
      </c>
      <c r="F260" s="52">
        <f>'Worksheet - General Fund (010)'!H799</f>
        <v>1455.4279999999999</v>
      </c>
      <c r="G260" s="52">
        <f>'Worksheet - General Fund (010)'!I799</f>
        <v>7696.9750000000004</v>
      </c>
    </row>
    <row r="261" spans="1:7">
      <c r="A261" s="70" t="s">
        <v>210</v>
      </c>
      <c r="B261" s="52">
        <f>1885.16+1101.23+2045.58+1305</f>
        <v>6336.97</v>
      </c>
      <c r="C261" s="59">
        <f>'Worksheet - General Fund (010)'!E807</f>
        <v>7306</v>
      </c>
      <c r="D261" s="59">
        <f>'Worksheet - General Fund (010)'!F807</f>
        <v>0</v>
      </c>
      <c r="E261" s="59">
        <f>'Worksheet - General Fund (010)'!G807</f>
        <v>5457.74</v>
      </c>
      <c r="F261" s="59">
        <f>'Worksheet - General Fund (010)'!H807</f>
        <v>7276.9866666666658</v>
      </c>
      <c r="G261" s="59">
        <f>'Worksheet - General Fund (010)'!I807</f>
        <v>6925</v>
      </c>
    </row>
    <row r="262" spans="1:7">
      <c r="A262" s="70" t="s">
        <v>212</v>
      </c>
      <c r="B262" s="52">
        <v>1909.97</v>
      </c>
      <c r="C262" s="59">
        <f>'Worksheet - General Fund (010)'!E811</f>
        <v>500</v>
      </c>
      <c r="D262" s="59">
        <f>'Worksheet - General Fund (010)'!F811</f>
        <v>0</v>
      </c>
      <c r="E262" s="59">
        <f>'Worksheet - General Fund (010)'!G811</f>
        <v>3687.26</v>
      </c>
      <c r="F262" s="59">
        <f>'Worksheet - General Fund (010)'!H811</f>
        <v>4916.3466666666673</v>
      </c>
      <c r="G262" s="59">
        <f>'Worksheet - General Fund (010)'!I811</f>
        <v>300</v>
      </c>
    </row>
    <row r="263" spans="1:7">
      <c r="A263" s="70" t="s">
        <v>781</v>
      </c>
      <c r="B263" s="52">
        <v>0</v>
      </c>
      <c r="C263" s="59">
        <f>'Worksheet - General Fund (010)'!E815</f>
        <v>0</v>
      </c>
      <c r="D263" s="59">
        <f>'Worksheet - General Fund (010)'!F815</f>
        <v>0</v>
      </c>
      <c r="E263" s="59">
        <f>'Worksheet - General Fund (010)'!G815</f>
        <v>0</v>
      </c>
      <c r="F263" s="59">
        <f>'Worksheet - General Fund (010)'!H815</f>
        <v>0</v>
      </c>
      <c r="G263" s="59">
        <f>'Worksheet - General Fund (010)'!I815</f>
        <v>250</v>
      </c>
    </row>
    <row r="264" spans="1:7">
      <c r="A264" s="70" t="s">
        <v>31</v>
      </c>
      <c r="B264" s="58">
        <v>0</v>
      </c>
      <c r="C264" s="59">
        <f>'Worksheet - General Fund (010)'!E819</f>
        <v>0</v>
      </c>
      <c r="D264" s="59">
        <f>'Worksheet - General Fund (010)'!F819</f>
        <v>0</v>
      </c>
      <c r="E264" s="59">
        <f>'Worksheet - General Fund (010)'!G819</f>
        <v>0</v>
      </c>
      <c r="F264" s="59">
        <f>'Worksheet - General Fund (010)'!H819</f>
        <v>0</v>
      </c>
      <c r="G264" s="59">
        <f>'Worksheet - General Fund (010)'!I819</f>
        <v>0</v>
      </c>
    </row>
    <row r="265" spans="1:7" ht="15.75" thickBot="1">
      <c r="A265" s="18" t="s">
        <v>904</v>
      </c>
      <c r="B265" s="54">
        <f>SUM(B260:B264)</f>
        <v>22873.72</v>
      </c>
      <c r="C265" s="54">
        <f>SUM(C260:C264)</f>
        <v>14696</v>
      </c>
      <c r="D265" s="54">
        <f t="shared" ref="D265:G265" si="27">SUM(D260:D264)</f>
        <v>0</v>
      </c>
      <c r="E265" s="54">
        <f t="shared" si="27"/>
        <v>10488.44</v>
      </c>
      <c r="F265" s="54">
        <f t="shared" si="27"/>
        <v>13648.761333333332</v>
      </c>
      <c r="G265" s="54">
        <f t="shared" si="27"/>
        <v>15171.975</v>
      </c>
    </row>
    <row r="266" spans="1:7" ht="15.75" thickTop="1">
      <c r="A266" s="18"/>
      <c r="B266" s="57"/>
      <c r="C266" s="57"/>
      <c r="D266" s="57"/>
      <c r="E266" s="57"/>
      <c r="F266" s="57"/>
    </row>
    <row r="267" spans="1:7">
      <c r="A267" s="18" t="s">
        <v>705</v>
      </c>
      <c r="B267" s="52" t="s">
        <v>13</v>
      </c>
      <c r="C267" s="52" t="s">
        <v>13</v>
      </c>
      <c r="D267" s="52" t="s">
        <v>13</v>
      </c>
      <c r="E267" s="52" t="s">
        <v>13</v>
      </c>
      <c r="F267" s="52" t="s">
        <v>13</v>
      </c>
    </row>
    <row r="268" spans="1:7">
      <c r="A268" s="70" t="s">
        <v>30</v>
      </c>
      <c r="B268" s="52">
        <f>68695.22+5255.14</f>
        <v>73950.36</v>
      </c>
      <c r="C268" s="52">
        <f>'Worksheet - General Fund (010)'!E838</f>
        <v>75355</v>
      </c>
      <c r="D268" s="52">
        <f>'Worksheet - General Fund (010)'!F838</f>
        <v>0</v>
      </c>
      <c r="E268" s="52">
        <f>'Worksheet - General Fund (010)'!G838</f>
        <v>68890.75</v>
      </c>
      <c r="F268" s="52">
        <f>'Worksheet - General Fund (010)'!H838</f>
        <v>74631.665560833324</v>
      </c>
      <c r="G268" s="52">
        <f>'Worksheet - General Fund (010)'!I838</f>
        <v>95270.25</v>
      </c>
    </row>
    <row r="269" spans="1:7">
      <c r="A269" s="70" t="s">
        <v>207</v>
      </c>
      <c r="B269" s="52">
        <v>1329.41</v>
      </c>
      <c r="C269" s="52">
        <f>'Worksheet - General Fund (010)'!E842</f>
        <v>1000</v>
      </c>
      <c r="D269" s="52">
        <f>'Worksheet - General Fund (010)'!F842</f>
        <v>0</v>
      </c>
      <c r="E269" s="52">
        <f>'Worksheet - General Fund (010)'!G842</f>
        <v>0</v>
      </c>
      <c r="F269" s="52">
        <f>'Worksheet - General Fund (010)'!H842</f>
        <v>0</v>
      </c>
      <c r="G269" s="52">
        <f>'Worksheet - General Fund (010)'!I842</f>
        <v>800</v>
      </c>
    </row>
    <row r="270" spans="1:7">
      <c r="A270" s="70" t="s">
        <v>210</v>
      </c>
      <c r="B270" s="52">
        <f>270+1575+0+6963.21+2370.69+867.67+879.95+8176.1+2370.26</f>
        <v>23472.880000000005</v>
      </c>
      <c r="C270" s="59">
        <f>'Worksheet - General Fund (010)'!E854</f>
        <v>22250</v>
      </c>
      <c r="D270" s="59">
        <f>'Worksheet - General Fund (010)'!F854</f>
        <v>0</v>
      </c>
      <c r="E270" s="59">
        <f>'Worksheet - General Fund (010)'!G854</f>
        <v>20438.439999999999</v>
      </c>
      <c r="F270" s="59">
        <f>'Worksheet - General Fund (010)'!H854</f>
        <v>21908.601818181814</v>
      </c>
      <c r="G270" s="59">
        <f>'Worksheet - General Fund (010)'!I854</f>
        <v>21240</v>
      </c>
    </row>
    <row r="271" spans="1:7">
      <c r="A271" s="70" t="s">
        <v>212</v>
      </c>
      <c r="B271" s="52">
        <f>8321.89+1870.39</f>
        <v>10192.279999999999</v>
      </c>
      <c r="C271" s="59">
        <f>'Worksheet - General Fund (010)'!E858</f>
        <v>2000</v>
      </c>
      <c r="D271" s="59">
        <f>'Worksheet - General Fund (010)'!F858</f>
        <v>0</v>
      </c>
      <c r="E271" s="59">
        <f>'Worksheet - General Fund (010)'!G858</f>
        <v>757.1</v>
      </c>
      <c r="F271" s="59">
        <f>'Worksheet - General Fund (010)'!H858</f>
        <v>825.92727272727279</v>
      </c>
      <c r="G271" s="59">
        <f>'Worksheet - General Fund (010)'!I858</f>
        <v>250</v>
      </c>
    </row>
    <row r="272" spans="1:7">
      <c r="A272" s="70" t="s">
        <v>223</v>
      </c>
      <c r="B272" s="52">
        <v>0</v>
      </c>
      <c r="C272" s="59">
        <f>'Worksheet - General Fund (010)'!E862</f>
        <v>0</v>
      </c>
      <c r="D272" s="59">
        <f>'Worksheet - General Fund (010)'!F862</f>
        <v>0</v>
      </c>
      <c r="E272" s="59">
        <f>'Worksheet - General Fund (010)'!G862</f>
        <v>0</v>
      </c>
      <c r="F272" s="59">
        <f>'Worksheet - General Fund (010)'!H862</f>
        <v>0</v>
      </c>
      <c r="G272" s="59">
        <f>'Worksheet - General Fund (010)'!I862</f>
        <v>500</v>
      </c>
    </row>
    <row r="273" spans="1:11">
      <c r="A273" s="70" t="s">
        <v>380</v>
      </c>
      <c r="B273" s="52">
        <v>8309.48</v>
      </c>
      <c r="C273" s="59">
        <f>'Worksheet - General Fund (010)'!E868</f>
        <v>10700</v>
      </c>
      <c r="D273" s="59">
        <f>'Worksheet - General Fund (010)'!F868</f>
        <v>0</v>
      </c>
      <c r="E273" s="59">
        <f>'Worksheet - General Fund (010)'!G868</f>
        <v>9635.76</v>
      </c>
      <c r="F273" s="59">
        <f>'Worksheet - General Fund (010)'!H868</f>
        <v>10273.726363636364</v>
      </c>
      <c r="G273" s="59">
        <f>'Worksheet - General Fund (010)'!I868</f>
        <v>9700</v>
      </c>
    </row>
    <row r="274" spans="1:11">
      <c r="A274" s="70" t="s">
        <v>31</v>
      </c>
      <c r="B274" s="58">
        <v>16999</v>
      </c>
      <c r="C274" s="59">
        <f>'Worksheet - General Fund (010)'!E872</f>
        <v>0</v>
      </c>
      <c r="D274" s="59">
        <f>'Worksheet - General Fund (010)'!F872</f>
        <v>0</v>
      </c>
      <c r="E274" s="59">
        <f>'Worksheet - General Fund (010)'!G872</f>
        <v>0</v>
      </c>
      <c r="F274" s="59">
        <f>'Worksheet - General Fund (010)'!H872</f>
        <v>0</v>
      </c>
      <c r="G274" s="59">
        <f>'Worksheet - General Fund (010)'!I872</f>
        <v>0</v>
      </c>
    </row>
    <row r="275" spans="1:11" ht="15.75" thickBot="1">
      <c r="A275" s="18" t="s">
        <v>905</v>
      </c>
      <c r="B275" s="54">
        <f>SUM(B268:B274)</f>
        <v>134253.41</v>
      </c>
      <c r="C275" s="54">
        <f>SUM(C268:C274)</f>
        <v>111305</v>
      </c>
      <c r="D275" s="54">
        <f t="shared" ref="D275:G275" si="28">SUM(D268:D274)</f>
        <v>0</v>
      </c>
      <c r="E275" s="54">
        <f t="shared" si="28"/>
        <v>99722.05</v>
      </c>
      <c r="F275" s="54">
        <f t="shared" si="28"/>
        <v>107639.92101537877</v>
      </c>
      <c r="G275" s="54">
        <f t="shared" si="28"/>
        <v>127760.25</v>
      </c>
    </row>
    <row r="276" spans="1:11" ht="15.75" thickTop="1">
      <c r="A276" s="18"/>
      <c r="B276" s="57"/>
      <c r="C276" s="57"/>
      <c r="D276" s="57"/>
      <c r="E276" s="57"/>
      <c r="F276" s="57"/>
      <c r="G276" s="57"/>
    </row>
    <row r="277" spans="1:11">
      <c r="A277" s="18" t="s">
        <v>743</v>
      </c>
      <c r="B277" s="52" t="s">
        <v>13</v>
      </c>
      <c r="C277" s="52" t="s">
        <v>13</v>
      </c>
      <c r="D277" s="52" t="s">
        <v>13</v>
      </c>
      <c r="E277" s="52" t="s">
        <v>13</v>
      </c>
      <c r="F277" s="52" t="s">
        <v>13</v>
      </c>
    </row>
    <row r="278" spans="1:11">
      <c r="A278" s="70" t="s">
        <v>746</v>
      </c>
      <c r="B278" s="52">
        <v>63025.25</v>
      </c>
      <c r="C278" s="52">
        <f>'Worksheet - General Fund (010)'!E881</f>
        <v>64601</v>
      </c>
      <c r="D278" s="52">
        <f>'Worksheet - General Fund (010)'!F881</f>
        <v>0</v>
      </c>
      <c r="E278" s="52">
        <f>'Worksheet - General Fund (010)'!G881</f>
        <v>64600.89</v>
      </c>
      <c r="F278" s="52">
        <f>'Worksheet - General Fund (010)'!H881</f>
        <v>64600.89</v>
      </c>
      <c r="G278" s="52">
        <f>'Worksheet - General Fund (010)'!I881</f>
        <v>64600.89</v>
      </c>
    </row>
    <row r="279" spans="1:11" ht="15.75" thickBot="1">
      <c r="A279" s="18" t="s">
        <v>906</v>
      </c>
      <c r="B279" s="54">
        <f t="shared" ref="B279:G279" si="29">SUM(B278:B278)</f>
        <v>63025.25</v>
      </c>
      <c r="C279" s="54">
        <f t="shared" si="29"/>
        <v>64601</v>
      </c>
      <c r="D279" s="54">
        <f t="shared" si="29"/>
        <v>0</v>
      </c>
      <c r="E279" s="54">
        <f t="shared" si="29"/>
        <v>64600.89</v>
      </c>
      <c r="F279" s="54">
        <f t="shared" si="29"/>
        <v>64600.89</v>
      </c>
      <c r="G279" s="54">
        <f t="shared" si="29"/>
        <v>64600.89</v>
      </c>
    </row>
    <row r="280" spans="1:11" ht="15.75" thickTop="1">
      <c r="A280" s="18"/>
      <c r="B280" s="57"/>
      <c r="C280" s="57"/>
      <c r="D280" s="57"/>
      <c r="E280" s="57"/>
      <c r="F280" s="57"/>
    </row>
    <row r="281" spans="1:11" ht="15.75" thickBot="1">
      <c r="A281" s="18" t="s">
        <v>917</v>
      </c>
      <c r="B281" s="104">
        <v>1021801.16</v>
      </c>
      <c r="C281" s="104">
        <v>0</v>
      </c>
      <c r="D281" s="104">
        <f>SUM(D278:D279)</f>
        <v>0</v>
      </c>
      <c r="E281" s="104">
        <v>21313.19</v>
      </c>
      <c r="F281" s="104">
        <v>21313.19</v>
      </c>
      <c r="G281" s="104">
        <v>0</v>
      </c>
    </row>
    <row r="282" spans="1:11" ht="15.75" thickTop="1">
      <c r="A282" s="18"/>
      <c r="B282" s="57"/>
      <c r="C282" s="57"/>
      <c r="D282" s="57"/>
      <c r="E282" s="57"/>
      <c r="F282" s="57"/>
    </row>
    <row r="283" spans="1:11" ht="15.75" thickBot="1">
      <c r="A283" s="18" t="s">
        <v>755</v>
      </c>
      <c r="B283" s="72">
        <f t="shared" ref="B283:G283" si="30">B133+B138+B145+B149+B160+B165+B176+B187+B198+B209+B220+B230+B240+B250+B257+B265+B275+B279+B281</f>
        <v>3572302.3800000008</v>
      </c>
      <c r="C283" s="72">
        <f t="shared" si="30"/>
        <v>2660727</v>
      </c>
      <c r="D283" s="72">
        <f t="shared" si="30"/>
        <v>0</v>
      </c>
      <c r="E283" s="72">
        <f t="shared" si="30"/>
        <v>2612523.48</v>
      </c>
      <c r="F283" s="72">
        <f t="shared" si="30"/>
        <v>2812455.3090770454</v>
      </c>
      <c r="G283" s="72">
        <f t="shared" si="30"/>
        <v>2696832.085</v>
      </c>
      <c r="K283" s="6"/>
    </row>
    <row r="284" spans="1:11" ht="15.75" thickTop="1">
      <c r="A284" s="18"/>
      <c r="B284" s="57"/>
      <c r="C284" s="57"/>
      <c r="D284" s="57"/>
      <c r="E284" s="57"/>
      <c r="F284" s="57"/>
      <c r="G284" s="65"/>
    </row>
    <row r="285" spans="1:11">
      <c r="A285" s="18"/>
      <c r="B285" s="57"/>
      <c r="C285" s="57"/>
      <c r="D285" s="57"/>
      <c r="E285" s="57"/>
      <c r="F285" s="57"/>
      <c r="G285" s="65"/>
    </row>
    <row r="286" spans="1:11" ht="35.1" customHeight="1" thickBot="1">
      <c r="A286" s="68" t="s">
        <v>752</v>
      </c>
      <c r="B286" s="73">
        <v>-399041</v>
      </c>
      <c r="C286" s="73">
        <v>-291556</v>
      </c>
      <c r="D286" s="73">
        <f>D125-D283</f>
        <v>0</v>
      </c>
      <c r="E286" s="73">
        <f>E125-E283</f>
        <v>33493.14000000013</v>
      </c>
      <c r="F286" s="73">
        <f>F125-F283</f>
        <v>45914.970922954381</v>
      </c>
      <c r="G286" s="73">
        <f>G125-G283</f>
        <v>13612.915000000037</v>
      </c>
    </row>
    <row r="287" spans="1:11" ht="15.75" thickTop="1">
      <c r="B287" s="53"/>
      <c r="C287" s="58"/>
      <c r="D287" s="58"/>
      <c r="E287" s="58"/>
      <c r="F287" s="58"/>
    </row>
    <row r="288" spans="1:11">
      <c r="A288" s="18" t="s">
        <v>753</v>
      </c>
      <c r="B288" s="57"/>
      <c r="C288" s="58"/>
      <c r="D288" s="58"/>
      <c r="E288" s="58"/>
      <c r="F288" s="58"/>
    </row>
    <row r="289" spans="1:8">
      <c r="A289" s="70" t="s">
        <v>8</v>
      </c>
      <c r="B289" s="52">
        <v>1682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</row>
    <row r="290" spans="1:8">
      <c r="A290" s="70" t="s">
        <v>9</v>
      </c>
      <c r="B290" s="37">
        <v>100000</v>
      </c>
      <c r="C290" s="52">
        <v>100000</v>
      </c>
      <c r="D290" s="52">
        <v>0</v>
      </c>
      <c r="E290" s="52">
        <v>0</v>
      </c>
      <c r="F290" s="52">
        <v>0</v>
      </c>
      <c r="G290" s="52">
        <v>0</v>
      </c>
    </row>
    <row r="291" spans="1:8">
      <c r="A291" s="70" t="s">
        <v>432</v>
      </c>
      <c r="B291" s="52">
        <v>0</v>
      </c>
      <c r="C291" s="52">
        <v>0</v>
      </c>
      <c r="D291" s="52">
        <f>'Summary - Sewer Fund (021)'!D32*-1</f>
        <v>0</v>
      </c>
      <c r="E291" s="52">
        <v>0</v>
      </c>
      <c r="F291" s="52">
        <v>0</v>
      </c>
      <c r="G291" s="52">
        <v>0</v>
      </c>
    </row>
    <row r="292" spans="1:8">
      <c r="A292" s="70" t="s">
        <v>433</v>
      </c>
      <c r="B292" s="52">
        <v>0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</row>
    <row r="293" spans="1:8">
      <c r="A293" s="70" t="s">
        <v>434</v>
      </c>
      <c r="B293" s="52">
        <v>0</v>
      </c>
      <c r="C293" s="52">
        <v>0</v>
      </c>
      <c r="D293" s="52">
        <f>'Summary - Water Fund (020)'!D34*-1</f>
        <v>0</v>
      </c>
      <c r="E293" s="52">
        <v>0</v>
      </c>
      <c r="F293" s="52">
        <v>0</v>
      </c>
      <c r="G293" s="52">
        <v>0</v>
      </c>
    </row>
    <row r="294" spans="1:8">
      <c r="A294" s="70" t="s">
        <v>711</v>
      </c>
      <c r="B294" s="52">
        <v>0</v>
      </c>
      <c r="C294" s="52">
        <v>0</v>
      </c>
      <c r="D294" s="52">
        <f>('Summary - Cap Improv (030)'!C23)*-1</f>
        <v>0</v>
      </c>
      <c r="E294" s="52">
        <v>0</v>
      </c>
      <c r="F294" s="52">
        <v>0</v>
      </c>
      <c r="G294" s="52">
        <v>0</v>
      </c>
    </row>
    <row r="295" spans="1:8">
      <c r="A295" s="70" t="s">
        <v>712</v>
      </c>
      <c r="B295" s="52">
        <v>0</v>
      </c>
      <c r="C295" s="52">
        <v>0</v>
      </c>
      <c r="D295" s="52">
        <f>'Summary - Cons Trust (080)'!D24</f>
        <v>0</v>
      </c>
      <c r="E295" s="52">
        <f>'[1]Summary - CTF'!E31</f>
        <v>0</v>
      </c>
      <c r="F295" s="52">
        <v>0</v>
      </c>
      <c r="G295" s="52">
        <v>0</v>
      </c>
    </row>
    <row r="296" spans="1:8">
      <c r="A296" s="70" t="s">
        <v>913</v>
      </c>
      <c r="B296" s="59">
        <v>0</v>
      </c>
      <c r="C296" s="59">
        <v>0</v>
      </c>
      <c r="D296" s="59">
        <v>0</v>
      </c>
      <c r="E296" s="59">
        <v>0</v>
      </c>
      <c r="F296" s="59">
        <v>0</v>
      </c>
      <c r="G296" s="59">
        <v>0</v>
      </c>
    </row>
    <row r="297" spans="1:8">
      <c r="A297" s="70" t="s">
        <v>914</v>
      </c>
      <c r="B297" s="59">
        <v>0</v>
      </c>
      <c r="C297" s="59">
        <f>74275</f>
        <v>74275</v>
      </c>
      <c r="D297" s="59">
        <v>0</v>
      </c>
      <c r="E297" s="59">
        <v>0</v>
      </c>
      <c r="F297" s="59">
        <v>0</v>
      </c>
      <c r="G297" s="59">
        <v>0</v>
      </c>
      <c r="H297" t="s">
        <v>984</v>
      </c>
    </row>
    <row r="298" spans="1:8">
      <c r="A298" s="70" t="s">
        <v>10</v>
      </c>
      <c r="B298" s="52">
        <v>0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</row>
    <row r="299" spans="1:8">
      <c r="A299" s="70" t="s">
        <v>435</v>
      </c>
      <c r="B299" s="52">
        <v>0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</row>
    <row r="300" spans="1:8">
      <c r="A300" s="70" t="s">
        <v>436</v>
      </c>
      <c r="B300" s="52">
        <v>0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</row>
    <row r="301" spans="1:8" s="3" customFormat="1" ht="15.75" thickBot="1">
      <c r="A301" s="18" t="s">
        <v>754</v>
      </c>
      <c r="B301" s="54">
        <f t="shared" ref="B301:G301" si="31">SUM(B289:B300)</f>
        <v>101682</v>
      </c>
      <c r="C301" s="54">
        <f t="shared" si="31"/>
        <v>174275</v>
      </c>
      <c r="D301" s="54">
        <f t="shared" si="31"/>
        <v>0</v>
      </c>
      <c r="E301" s="54">
        <f t="shared" si="31"/>
        <v>0</v>
      </c>
      <c r="F301" s="54">
        <f t="shared" si="31"/>
        <v>0</v>
      </c>
      <c r="G301" s="54">
        <f t="shared" si="31"/>
        <v>0</v>
      </c>
    </row>
    <row r="302" spans="1:8" ht="15.75" thickTop="1">
      <c r="C302" s="58"/>
      <c r="D302" s="58"/>
      <c r="E302" s="58"/>
      <c r="F302" s="58"/>
    </row>
    <row r="303" spans="1:8" ht="50.1" customHeight="1" thickBot="1">
      <c r="A303" s="68" t="s">
        <v>756</v>
      </c>
      <c r="B303" s="72">
        <f t="shared" ref="B303:G303" si="32">B286+B301</f>
        <v>-297359</v>
      </c>
      <c r="C303" s="72">
        <f t="shared" si="32"/>
        <v>-117281</v>
      </c>
      <c r="D303" s="72">
        <f t="shared" si="32"/>
        <v>0</v>
      </c>
      <c r="E303" s="72">
        <f t="shared" si="32"/>
        <v>33493.14000000013</v>
      </c>
      <c r="F303" s="72">
        <f t="shared" si="32"/>
        <v>45914.970922954381</v>
      </c>
      <c r="G303" s="72">
        <f t="shared" si="32"/>
        <v>13612.915000000037</v>
      </c>
    </row>
    <row r="304" spans="1:8" ht="15.75" thickTop="1">
      <c r="C304" s="58"/>
      <c r="D304" s="58"/>
      <c r="E304" s="58"/>
      <c r="F304" s="58"/>
    </row>
    <row r="305" spans="1:11">
      <c r="A305" s="70" t="s">
        <v>757</v>
      </c>
      <c r="B305" s="52">
        <v>545278</v>
      </c>
      <c r="C305" s="52">
        <f>B306</f>
        <v>247919</v>
      </c>
      <c r="D305" s="52">
        <v>0</v>
      </c>
      <c r="E305" s="52">
        <f>B306</f>
        <v>247919</v>
      </c>
      <c r="F305" s="52">
        <f>B306</f>
        <v>247919</v>
      </c>
      <c r="G305" s="52">
        <f>F306</f>
        <v>293833.97092295438</v>
      </c>
    </row>
    <row r="306" spans="1:11" ht="15.75" thickBot="1">
      <c r="A306" s="18" t="s">
        <v>758</v>
      </c>
      <c r="B306" s="54">
        <f>B305+B303</f>
        <v>247919</v>
      </c>
      <c r="C306" s="54">
        <f>C305+C303</f>
        <v>130638</v>
      </c>
      <c r="D306" s="54">
        <f t="shared" ref="D306:G306" si="33">D305+D303</f>
        <v>0</v>
      </c>
      <c r="E306" s="54">
        <f t="shared" si="33"/>
        <v>281412.14000000013</v>
      </c>
      <c r="F306" s="54">
        <f t="shared" si="33"/>
        <v>293833.97092295438</v>
      </c>
      <c r="G306" s="54">
        <f t="shared" si="33"/>
        <v>307446.88592295442</v>
      </c>
      <c r="K306" s="6"/>
    </row>
    <row r="307" spans="1:11" ht="15.75" thickTop="1">
      <c r="C307" s="58"/>
      <c r="D307" s="58"/>
      <c r="E307" s="58"/>
      <c r="F307" s="58"/>
    </row>
    <row r="308" spans="1:11">
      <c r="C308" s="58"/>
      <c r="D308" s="58"/>
      <c r="E308" s="58"/>
      <c r="F308" s="58"/>
    </row>
    <row r="309" spans="1:11">
      <c r="C309" s="58"/>
      <c r="D309" s="58"/>
      <c r="E309" s="58"/>
      <c r="F309" s="58"/>
    </row>
    <row r="310" spans="1:11">
      <c r="A310" s="18" t="s">
        <v>759</v>
      </c>
      <c r="C310" s="58"/>
      <c r="D310" s="58"/>
      <c r="E310" s="58"/>
      <c r="F310" s="58"/>
    </row>
    <row r="311" spans="1:11">
      <c r="A311" s="18"/>
      <c r="C311" s="58"/>
      <c r="D311" s="58"/>
      <c r="E311" s="58"/>
      <c r="F311" s="58"/>
    </row>
    <row r="312" spans="1:11">
      <c r="A312" s="18" t="s">
        <v>760</v>
      </c>
      <c r="C312" s="52" t="s">
        <v>13</v>
      </c>
      <c r="D312" s="52"/>
      <c r="E312" s="52" t="s">
        <v>13</v>
      </c>
      <c r="F312" s="52" t="s">
        <v>13</v>
      </c>
    </row>
    <row r="313" spans="1:11">
      <c r="A313" s="70" t="s">
        <v>24</v>
      </c>
      <c r="B313" s="52">
        <v>107500</v>
      </c>
      <c r="C313" s="52">
        <v>79900</v>
      </c>
      <c r="D313" s="52">
        <f>D283*3%</f>
        <v>0</v>
      </c>
      <c r="E313" s="52">
        <v>67000</v>
      </c>
      <c r="F313" s="52">
        <v>104400</v>
      </c>
      <c r="G313" s="52">
        <v>80100</v>
      </c>
    </row>
    <row r="314" spans="1:11">
      <c r="A314" s="70" t="s">
        <v>437</v>
      </c>
      <c r="B314" s="52">
        <v>0</v>
      </c>
      <c r="C314" s="52">
        <v>0</v>
      </c>
      <c r="D314" s="52">
        <v>0</v>
      </c>
      <c r="E314" s="52">
        <v>0</v>
      </c>
      <c r="F314" s="52">
        <v>0</v>
      </c>
      <c r="G314" s="52">
        <v>0</v>
      </c>
    </row>
    <row r="315" spans="1:11">
      <c r="A315" s="70" t="s">
        <v>539</v>
      </c>
      <c r="B315" s="51">
        <v>0</v>
      </c>
      <c r="C315" s="52">
        <v>0</v>
      </c>
      <c r="D315" s="52">
        <v>0</v>
      </c>
      <c r="E315" s="52">
        <v>0</v>
      </c>
      <c r="F315" s="52">
        <v>0</v>
      </c>
      <c r="G315" s="52">
        <v>0</v>
      </c>
    </row>
    <row r="316" spans="1:11">
      <c r="A316" s="70" t="s">
        <v>398</v>
      </c>
      <c r="B316" s="52">
        <v>0</v>
      </c>
      <c r="C316" s="52">
        <v>0</v>
      </c>
      <c r="D316" s="52">
        <v>0</v>
      </c>
      <c r="E316" s="52">
        <v>0</v>
      </c>
      <c r="F316" s="52">
        <v>0</v>
      </c>
      <c r="G316" s="52">
        <v>0</v>
      </c>
    </row>
    <row r="317" spans="1:11">
      <c r="A317" s="70" t="s">
        <v>438</v>
      </c>
      <c r="B317" s="52">
        <v>0</v>
      </c>
      <c r="C317" s="52">
        <v>0</v>
      </c>
      <c r="D317" s="52">
        <v>0</v>
      </c>
      <c r="E317" s="52">
        <v>0</v>
      </c>
      <c r="F317" s="52">
        <v>0</v>
      </c>
      <c r="G317" s="52">
        <v>0</v>
      </c>
    </row>
    <row r="318" spans="1:11">
      <c r="A318" s="70" t="s">
        <v>419</v>
      </c>
      <c r="B318" s="52">
        <v>0</v>
      </c>
      <c r="C318" s="52">
        <v>0</v>
      </c>
      <c r="D318" s="52">
        <v>0</v>
      </c>
      <c r="E318" s="52">
        <v>0</v>
      </c>
      <c r="F318" s="52">
        <v>0</v>
      </c>
      <c r="G318" s="52">
        <v>0</v>
      </c>
    </row>
    <row r="319" spans="1:11">
      <c r="A319" s="70" t="s">
        <v>16</v>
      </c>
      <c r="B319" s="52">
        <v>0</v>
      </c>
      <c r="C319" s="52">
        <v>0</v>
      </c>
      <c r="D319" s="52">
        <v>0</v>
      </c>
      <c r="E319" s="52">
        <v>0</v>
      </c>
      <c r="F319" s="52">
        <v>0</v>
      </c>
      <c r="G319" s="52">
        <v>0</v>
      </c>
    </row>
    <row r="320" spans="1:11">
      <c r="A320" s="70" t="s">
        <v>439</v>
      </c>
      <c r="B320" s="52">
        <v>0</v>
      </c>
      <c r="C320" s="52">
        <v>200000</v>
      </c>
      <c r="D320" s="52">
        <v>0</v>
      </c>
      <c r="E320" s="52">
        <v>248568.83</v>
      </c>
      <c r="F320" s="52">
        <f>((E320/11)*12)-F209+F207-12000-2250</f>
        <v>100840.48795946967</v>
      </c>
      <c r="G320" s="52">
        <v>100000</v>
      </c>
    </row>
    <row r="321" spans="1:7">
      <c r="A321" s="70" t="s">
        <v>440</v>
      </c>
      <c r="B321" s="52">
        <v>0</v>
      </c>
      <c r="C321" s="52">
        <v>0</v>
      </c>
      <c r="D321" s="52">
        <v>0</v>
      </c>
      <c r="E321" s="52">
        <v>0</v>
      </c>
      <c r="F321" s="52">
        <v>0</v>
      </c>
      <c r="G321" s="52">
        <v>0</v>
      </c>
    </row>
    <row r="322" spans="1:7">
      <c r="A322" s="70" t="s">
        <v>17</v>
      </c>
      <c r="B322" s="51">
        <v>0</v>
      </c>
      <c r="C322" s="52">
        <v>0</v>
      </c>
      <c r="D322" s="52">
        <v>0</v>
      </c>
      <c r="E322" s="52">
        <v>0</v>
      </c>
      <c r="F322" s="52">
        <v>0</v>
      </c>
      <c r="G322" s="52">
        <v>0</v>
      </c>
    </row>
    <row r="323" spans="1:7" s="3" customFormat="1" ht="15.75" thickBot="1">
      <c r="A323" s="18" t="s">
        <v>761</v>
      </c>
      <c r="B323" s="54">
        <f t="shared" ref="B323" si="34">SUM(B313:B322)</f>
        <v>107500</v>
      </c>
      <c r="C323" s="54">
        <f>SUM(C313:C322)</f>
        <v>279900</v>
      </c>
      <c r="D323" s="54">
        <f t="shared" ref="D323:G323" si="35">SUM(D313:D322)</f>
        <v>0</v>
      </c>
      <c r="E323" s="54">
        <f t="shared" si="35"/>
        <v>315568.82999999996</v>
      </c>
      <c r="F323" s="54">
        <f t="shared" si="35"/>
        <v>205240.48795946967</v>
      </c>
      <c r="G323" s="54">
        <f t="shared" si="35"/>
        <v>180100</v>
      </c>
    </row>
    <row r="324" spans="1:7" ht="15.75" thickTop="1">
      <c r="B324" s="53"/>
      <c r="C324" s="53"/>
      <c r="D324" s="53"/>
      <c r="E324" s="53"/>
      <c r="F324" s="53"/>
      <c r="G324" s="53"/>
    </row>
    <row r="325" spans="1:7" ht="15.75" thickBot="1">
      <c r="A325" s="18" t="s">
        <v>762</v>
      </c>
      <c r="B325" s="72">
        <f>B306-B323</f>
        <v>140419</v>
      </c>
      <c r="C325" s="72">
        <f>C306-C323</f>
        <v>-149262</v>
      </c>
      <c r="D325" s="72"/>
      <c r="E325" s="72">
        <f>E306-E323</f>
        <v>-34156.689999999828</v>
      </c>
      <c r="F325" s="72">
        <f>F306-F323</f>
        <v>88593.482963484712</v>
      </c>
      <c r="G325" s="72">
        <f>G306-G323</f>
        <v>127346.88592295442</v>
      </c>
    </row>
    <row r="326" spans="1:7" ht="15.75" thickTop="1">
      <c r="C326" s="21"/>
      <c r="D326" s="21"/>
      <c r="E326" s="21"/>
      <c r="F326" s="21"/>
    </row>
    <row r="327" spans="1:7">
      <c r="A327" s="66" t="s">
        <v>38</v>
      </c>
      <c r="B327" s="67">
        <f>(B325/B125)</f>
        <v>4.4084725065500201E-2</v>
      </c>
      <c r="C327" s="67">
        <f>(C325/C125)</f>
        <v>-6.2528695955252747E-2</v>
      </c>
      <c r="D327" s="67">
        <v>0</v>
      </c>
      <c r="E327" s="67">
        <f>(E325/E125)</f>
        <v>-1.2908720883242157E-2</v>
      </c>
      <c r="F327" s="67">
        <f>(F325/F125)</f>
        <v>3.0994403903291605E-2</v>
      </c>
      <c r="G327" s="67">
        <f>(G325/G125)</f>
        <v>4.6983755775510817E-2</v>
      </c>
    </row>
    <row r="330" spans="1:7">
      <c r="A330" s="18"/>
      <c r="B330" s="57"/>
      <c r="C330" s="57"/>
      <c r="D330" s="57"/>
      <c r="E330" s="57"/>
      <c r="F330" s="57"/>
    </row>
  </sheetData>
  <mergeCells count="2">
    <mergeCell ref="A1:G1"/>
    <mergeCell ref="A2:G2"/>
  </mergeCells>
  <pageMargins left="0.75" right="0.75" top="0.5" bottom="1" header="0.3" footer="0.3"/>
  <pageSetup scale="51" fitToHeight="0" orientation="portrait" r:id="rId1"/>
  <headerFooter>
    <oddFooter>&amp;CGeneral Fund
Page &amp;P</oddFooter>
  </headerFooter>
  <rowBreaks count="4" manualBreakCount="4">
    <brk id="82" max="16383" man="1"/>
    <brk id="125" max="16383" man="1"/>
    <brk id="209" max="16383" man="1"/>
    <brk id="28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6"/>
  <sheetViews>
    <sheetView zoomScaleNormal="100" workbookViewId="0">
      <pane ySplit="6" topLeftCell="A13" activePane="bottomLeft" state="frozen"/>
      <selection pane="bottomLeft" activeCell="G12" sqref="G12"/>
    </sheetView>
  </sheetViews>
  <sheetFormatPr defaultRowHeight="15"/>
  <cols>
    <col min="1" max="1" width="41.5703125" bestFit="1" customWidth="1"/>
    <col min="2" max="3" width="14.28515625" style="1" bestFit="1" customWidth="1"/>
    <col min="4" max="4" width="14.28515625" style="1" customWidth="1"/>
    <col min="5" max="5" width="14.28515625" style="1" bestFit="1" customWidth="1"/>
    <col min="6" max="6" width="13.28515625" style="1" customWidth="1"/>
    <col min="7" max="7" width="14.28515625" style="5" bestFit="1" customWidth="1"/>
    <col min="8" max="8" width="38.140625" bestFit="1" customWidth="1"/>
  </cols>
  <sheetData>
    <row r="1" spans="1:9">
      <c r="A1" s="200" t="s">
        <v>41</v>
      </c>
      <c r="B1" s="200"/>
      <c r="C1" s="200"/>
      <c r="D1" s="200"/>
      <c r="E1" s="200"/>
      <c r="F1" s="200"/>
      <c r="G1" s="200"/>
      <c r="H1" s="84"/>
      <c r="I1" s="84"/>
    </row>
    <row r="2" spans="1:9">
      <c r="A2" s="200" t="s">
        <v>40</v>
      </c>
      <c r="B2" s="200"/>
      <c r="C2" s="200"/>
      <c r="D2" s="200"/>
      <c r="E2" s="200"/>
      <c r="F2" s="200"/>
      <c r="G2" s="200"/>
      <c r="H2" s="84"/>
      <c r="I2" s="84"/>
    </row>
    <row r="3" spans="1:9" ht="7.5" customHeight="1">
      <c r="A3" s="18" t="s">
        <v>13</v>
      </c>
      <c r="B3" s="76" t="s">
        <v>13</v>
      </c>
      <c r="C3" s="76" t="s">
        <v>13</v>
      </c>
      <c r="D3" s="76"/>
      <c r="E3" s="76" t="s">
        <v>13</v>
      </c>
      <c r="F3" s="76" t="s">
        <v>13</v>
      </c>
      <c r="G3" s="79" t="s">
        <v>13</v>
      </c>
      <c r="H3" s="84"/>
      <c r="I3" s="84"/>
    </row>
    <row r="4" spans="1:9">
      <c r="A4" s="18"/>
      <c r="B4" s="46">
        <v>2019</v>
      </c>
      <c r="C4" s="46">
        <v>2020</v>
      </c>
      <c r="D4" s="46">
        <v>2020</v>
      </c>
      <c r="E4" s="39">
        <v>2020</v>
      </c>
      <c r="F4" s="39">
        <v>2020</v>
      </c>
      <c r="G4" s="195" t="s">
        <v>958</v>
      </c>
      <c r="H4" s="84"/>
      <c r="I4" s="84"/>
    </row>
    <row r="5" spans="1:9">
      <c r="A5" s="48" t="s">
        <v>749</v>
      </c>
      <c r="B5" s="49" t="s">
        <v>716</v>
      </c>
      <c r="C5" s="49" t="s">
        <v>747</v>
      </c>
      <c r="D5" s="49" t="s">
        <v>748</v>
      </c>
      <c r="E5" s="49" t="s">
        <v>1048</v>
      </c>
      <c r="F5" s="49" t="s">
        <v>789</v>
      </c>
      <c r="G5" s="195" t="s">
        <v>718</v>
      </c>
      <c r="H5" s="84"/>
      <c r="I5" s="84"/>
    </row>
    <row r="6" spans="1:9">
      <c r="B6" s="76"/>
      <c r="C6" s="76"/>
      <c r="D6" s="76"/>
      <c r="E6" s="76"/>
      <c r="F6" s="76"/>
      <c r="G6" s="79"/>
      <c r="H6" s="84"/>
      <c r="I6" s="84"/>
    </row>
    <row r="7" spans="1:9">
      <c r="A7" s="18" t="s">
        <v>750</v>
      </c>
      <c r="B7" s="76"/>
      <c r="C7" s="76"/>
      <c r="D7" s="76"/>
      <c r="E7" s="76"/>
      <c r="F7" s="76"/>
      <c r="G7" s="79"/>
      <c r="H7" s="84"/>
      <c r="I7" s="84"/>
    </row>
    <row r="8" spans="1:9">
      <c r="A8" s="70" t="s">
        <v>540</v>
      </c>
      <c r="B8" s="77">
        <v>324126.15999999997</v>
      </c>
      <c r="C8" s="77">
        <f>'Worksheet - Cap Improv (030)'!E9</f>
        <v>300000</v>
      </c>
      <c r="D8" s="77">
        <f>'Worksheet - Cap Improv (030)'!F9</f>
        <v>0</v>
      </c>
      <c r="E8" s="77">
        <f>'Worksheet - Cap Improv (030)'!G9</f>
        <v>342592.07</v>
      </c>
      <c r="F8" s="77">
        <f>'Worksheet - Cap Improv (030)'!H9</f>
        <v>373736.80363636365</v>
      </c>
      <c r="G8" s="77">
        <f>'Worksheet - Cap Improv (030)'!I9</f>
        <v>375000</v>
      </c>
    </row>
    <row r="9" spans="1:9" ht="15.75" thickBot="1">
      <c r="A9" s="18" t="s">
        <v>4</v>
      </c>
      <c r="B9" s="78">
        <f>SUM(B8:B8)</f>
        <v>324126.15999999997</v>
      </c>
      <c r="C9" s="78">
        <f>SUM(C8:C8)</f>
        <v>300000</v>
      </c>
      <c r="D9" s="78">
        <f t="shared" ref="D9:G9" si="0">SUM(D8:D8)</f>
        <v>0</v>
      </c>
      <c r="E9" s="78">
        <f t="shared" si="0"/>
        <v>342592.07</v>
      </c>
      <c r="F9" s="78">
        <f t="shared" si="0"/>
        <v>373736.80363636365</v>
      </c>
      <c r="G9" s="78">
        <f t="shared" si="0"/>
        <v>375000</v>
      </c>
    </row>
    <row r="10" spans="1:9" ht="15.75" thickTop="1">
      <c r="A10" s="21"/>
      <c r="B10" s="77"/>
      <c r="C10" s="77"/>
      <c r="D10" s="77"/>
      <c r="E10" s="77"/>
      <c r="F10" s="77"/>
      <c r="G10" s="77"/>
    </row>
    <row r="11" spans="1:9">
      <c r="A11" s="18" t="s">
        <v>782</v>
      </c>
      <c r="B11" s="79"/>
      <c r="C11" s="79"/>
      <c r="D11" s="79"/>
      <c r="E11" s="79"/>
      <c r="F11" s="79"/>
      <c r="G11" s="77"/>
    </row>
    <row r="12" spans="1:9">
      <c r="A12" s="70" t="s">
        <v>336</v>
      </c>
      <c r="B12" s="77">
        <f>'Worksheet - Cap Improv (030)'!E23</f>
        <v>0</v>
      </c>
      <c r="C12" s="77">
        <f>'Worksheet - Cap Improv (030)'!E23</f>
        <v>0</v>
      </c>
      <c r="D12" s="77">
        <f>'Worksheet - Cap Improv (030)'!F23</f>
        <v>0</v>
      </c>
      <c r="E12" s="77">
        <f>'Worksheet - Cap Improv (030)'!G23</f>
        <v>0</v>
      </c>
      <c r="F12" s="77">
        <f>'Worksheet - Cap Improv (030)'!H23</f>
        <v>0</v>
      </c>
      <c r="G12" s="80">
        <f>'Worksheet - Cap Improv (030)'!I23</f>
        <v>110000</v>
      </c>
    </row>
    <row r="13" spans="1:9">
      <c r="A13" s="70" t="s">
        <v>223</v>
      </c>
      <c r="B13" s="77">
        <v>493519.42</v>
      </c>
      <c r="C13" s="77">
        <f>'Worksheet - Cap Improv (030)'!E45</f>
        <v>230000</v>
      </c>
      <c r="D13" s="77">
        <f>'Worksheet - Cap Improv (030)'!F45</f>
        <v>0</v>
      </c>
      <c r="E13" s="77">
        <f>'Worksheet - Cap Improv (030)'!G45</f>
        <v>324094.07</v>
      </c>
      <c r="F13" s="77">
        <f>'Worksheet - Cap Improv (030)'!H45</f>
        <v>324094.07</v>
      </c>
      <c r="G13" s="77">
        <f>'Worksheet - Cap Improv (030)'!I45</f>
        <v>350000</v>
      </c>
    </row>
    <row r="14" spans="1:9">
      <c r="A14" s="70" t="s">
        <v>32</v>
      </c>
      <c r="B14" s="77">
        <f>'Worksheet - Cap Improv (030)'!E49</f>
        <v>0</v>
      </c>
      <c r="C14" s="77">
        <f>'Worksheet - Cap Improv (030)'!E49</f>
        <v>0</v>
      </c>
      <c r="D14" s="77">
        <f>'Worksheet - Cap Improv (030)'!F49</f>
        <v>0</v>
      </c>
      <c r="E14" s="77">
        <f>'Worksheet - Cap Improv (030)'!G49</f>
        <v>0</v>
      </c>
      <c r="F14" s="77">
        <f>'Worksheet - Cap Improv (030)'!H49</f>
        <v>0</v>
      </c>
      <c r="G14" s="77">
        <f>'Worksheet - Cap Improv (030)'!I49</f>
        <v>0</v>
      </c>
    </row>
    <row r="15" spans="1:9">
      <c r="A15" s="70" t="s">
        <v>37</v>
      </c>
      <c r="B15" s="77">
        <f>'Worksheet - Cap Improv (030)'!E53</f>
        <v>0</v>
      </c>
      <c r="C15" s="77">
        <f>'Worksheet - Cap Improv (030)'!E53</f>
        <v>0</v>
      </c>
      <c r="D15" s="77">
        <f>'Worksheet - Cap Improv (030)'!F53</f>
        <v>0</v>
      </c>
      <c r="E15" s="77">
        <f>'Worksheet - Cap Improv (030)'!G53</f>
        <v>0</v>
      </c>
      <c r="F15" s="77">
        <f>'Worksheet - Cap Improv (030)'!H53</f>
        <v>0</v>
      </c>
      <c r="G15" s="77">
        <f>'Worksheet - Cap Improv (030)'!I53</f>
        <v>0</v>
      </c>
    </row>
    <row r="16" spans="1:9" ht="15.75" thickBot="1">
      <c r="A16" s="18" t="s">
        <v>594</v>
      </c>
      <c r="B16" s="78">
        <f t="shared" ref="B16" si="1">SUM(B12:B15)</f>
        <v>493519.42</v>
      </c>
      <c r="C16" s="78">
        <f>SUM(C12:C15)</f>
        <v>230000</v>
      </c>
      <c r="D16" s="78">
        <f t="shared" ref="D16:G16" si="2">SUM(D12:D15)</f>
        <v>0</v>
      </c>
      <c r="E16" s="78">
        <f t="shared" si="2"/>
        <v>324094.07</v>
      </c>
      <c r="F16" s="78">
        <f t="shared" si="2"/>
        <v>324094.07</v>
      </c>
      <c r="G16" s="78">
        <f t="shared" si="2"/>
        <v>460000</v>
      </c>
    </row>
    <row r="17" spans="1:7" ht="15.75" thickTop="1">
      <c r="A17" s="21"/>
      <c r="B17" s="81"/>
      <c r="C17" s="81"/>
      <c r="D17" s="81"/>
      <c r="E17" s="81"/>
      <c r="F17" s="81"/>
      <c r="G17" s="77"/>
    </row>
    <row r="18" spans="1:7" ht="27" thickBot="1">
      <c r="A18" s="68" t="s">
        <v>752</v>
      </c>
      <c r="B18" s="73">
        <f>B9-B16</f>
        <v>-169393.26</v>
      </c>
      <c r="C18" s="73">
        <f t="shared" ref="C18:G18" si="3">C9-C16</f>
        <v>70000</v>
      </c>
      <c r="D18" s="73">
        <f t="shared" si="3"/>
        <v>0</v>
      </c>
      <c r="E18" s="73">
        <f t="shared" si="3"/>
        <v>18498</v>
      </c>
      <c r="F18" s="73">
        <f t="shared" si="3"/>
        <v>49642.733636363642</v>
      </c>
      <c r="G18" s="87">
        <f t="shared" si="3"/>
        <v>-85000</v>
      </c>
    </row>
    <row r="19" spans="1:7" ht="15.75" thickTop="1">
      <c r="A19" s="21"/>
      <c r="B19" s="58"/>
      <c r="C19" s="58"/>
      <c r="D19" s="58"/>
      <c r="E19" s="58"/>
      <c r="F19" s="58"/>
      <c r="G19" s="77"/>
    </row>
    <row r="20" spans="1:7">
      <c r="A20" s="18" t="s">
        <v>753</v>
      </c>
      <c r="B20" s="58"/>
      <c r="C20" s="58"/>
      <c r="D20" s="58"/>
      <c r="E20" s="58"/>
      <c r="F20" s="58"/>
      <c r="G20" s="77"/>
    </row>
    <row r="21" spans="1:7">
      <c r="A21" s="70" t="s">
        <v>8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>
      <c r="A22" s="70" t="s">
        <v>9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>
      <c r="A23" s="70" t="s">
        <v>10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ht="15.75" thickBot="1">
      <c r="A24" s="18" t="s">
        <v>754</v>
      </c>
      <c r="B24" s="78">
        <f t="shared" ref="B24:G24" si="4">SUM(B21:B23)</f>
        <v>0</v>
      </c>
      <c r="C24" s="78">
        <f t="shared" si="4"/>
        <v>0</v>
      </c>
      <c r="D24" s="78">
        <f t="shared" si="4"/>
        <v>0</v>
      </c>
      <c r="E24" s="78">
        <f t="shared" si="4"/>
        <v>0</v>
      </c>
      <c r="F24" s="78">
        <f t="shared" si="4"/>
        <v>0</v>
      </c>
      <c r="G24" s="78">
        <f t="shared" si="4"/>
        <v>0</v>
      </c>
    </row>
    <row r="25" spans="1:7" ht="15.75" thickTop="1">
      <c r="A25" s="21"/>
      <c r="B25" s="58"/>
      <c r="C25" s="58"/>
      <c r="D25" s="58"/>
      <c r="E25" s="58"/>
      <c r="F25" s="58"/>
      <c r="G25" s="77"/>
    </row>
    <row r="26" spans="1:7" ht="39.75" thickBot="1">
      <c r="A26" s="68" t="s">
        <v>756</v>
      </c>
      <c r="B26" s="87">
        <f>B18+B24</f>
        <v>-169393.26</v>
      </c>
      <c r="C26" s="87">
        <f t="shared" ref="C26:G26" si="5">C18+C24</f>
        <v>70000</v>
      </c>
      <c r="D26" s="87">
        <f t="shared" si="5"/>
        <v>0</v>
      </c>
      <c r="E26" s="87">
        <f t="shared" si="5"/>
        <v>18498</v>
      </c>
      <c r="F26" s="87">
        <f t="shared" si="5"/>
        <v>49642.733636363642</v>
      </c>
      <c r="G26" s="87">
        <f t="shared" si="5"/>
        <v>-85000</v>
      </c>
    </row>
    <row r="27" spans="1:7" ht="15.75" thickTop="1">
      <c r="A27" s="21"/>
      <c r="B27" s="58"/>
      <c r="C27" s="58"/>
      <c r="D27" s="58"/>
      <c r="E27" s="58"/>
      <c r="F27" s="58"/>
      <c r="G27" s="77"/>
    </row>
    <row r="28" spans="1:7">
      <c r="A28" s="70" t="s">
        <v>14</v>
      </c>
      <c r="B28" s="80">
        <v>338027</v>
      </c>
      <c r="C28" s="80">
        <f>B29</f>
        <v>168633.74</v>
      </c>
      <c r="D28" s="80">
        <v>0</v>
      </c>
      <c r="E28" s="80">
        <f>B29</f>
        <v>168633.74</v>
      </c>
      <c r="F28" s="80">
        <f>B29</f>
        <v>168633.74</v>
      </c>
      <c r="G28" s="80">
        <f>F29</f>
        <v>218276.47363636363</v>
      </c>
    </row>
    <row r="29" spans="1:7" ht="15.75" thickBot="1">
      <c r="A29" s="18" t="s">
        <v>758</v>
      </c>
      <c r="B29" s="78">
        <f>B28+B26</f>
        <v>168633.74</v>
      </c>
      <c r="C29" s="78">
        <f t="shared" ref="C29:G29" si="6">C28+C26</f>
        <v>238633.74</v>
      </c>
      <c r="D29" s="78">
        <f t="shared" si="6"/>
        <v>0</v>
      </c>
      <c r="E29" s="78">
        <f t="shared" si="6"/>
        <v>187131.74</v>
      </c>
      <c r="F29" s="78">
        <f t="shared" si="6"/>
        <v>218276.47363636363</v>
      </c>
      <c r="G29" s="78">
        <f t="shared" si="6"/>
        <v>133276.47363636363</v>
      </c>
    </row>
    <row r="30" spans="1:7" ht="15.75" thickTop="1">
      <c r="A30" s="21"/>
      <c r="B30" s="58"/>
      <c r="C30" s="58"/>
      <c r="D30" s="58"/>
      <c r="E30" s="58"/>
      <c r="F30" s="58"/>
      <c r="G30" s="77"/>
    </row>
    <row r="31" spans="1:7">
      <c r="A31" s="18" t="s">
        <v>759</v>
      </c>
      <c r="B31" s="58"/>
      <c r="C31" s="58"/>
      <c r="D31" s="58"/>
      <c r="E31" s="58"/>
      <c r="F31" s="58"/>
      <c r="G31" s="77"/>
    </row>
    <row r="32" spans="1:7">
      <c r="A32" s="18"/>
      <c r="B32" s="58"/>
      <c r="C32" s="58"/>
      <c r="D32" s="58"/>
      <c r="E32" s="58"/>
      <c r="F32" s="58"/>
      <c r="G32" s="77"/>
    </row>
    <row r="33" spans="1:7">
      <c r="A33" s="18" t="s">
        <v>760</v>
      </c>
      <c r="B33" s="77" t="s">
        <v>13</v>
      </c>
      <c r="C33" s="77"/>
      <c r="D33" s="77" t="s">
        <v>13</v>
      </c>
      <c r="E33" s="77" t="s">
        <v>13</v>
      </c>
      <c r="F33" s="77" t="s">
        <v>13</v>
      </c>
      <c r="G33" s="77"/>
    </row>
    <row r="34" spans="1:7">
      <c r="A34" s="70" t="s">
        <v>595</v>
      </c>
      <c r="B34" s="77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</row>
    <row r="35" spans="1:7">
      <c r="A35" s="70" t="s">
        <v>16</v>
      </c>
      <c r="B35" s="77">
        <v>0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</row>
    <row r="36" spans="1:7">
      <c r="A36" s="70" t="s">
        <v>17</v>
      </c>
      <c r="B36" s="77">
        <v>0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</row>
    <row r="37" spans="1:7" ht="15.75" thickBot="1">
      <c r="A37" s="18" t="s">
        <v>761</v>
      </c>
      <c r="B37" s="78">
        <f>SUM(B33:B36)</f>
        <v>0</v>
      </c>
      <c r="C37" s="78"/>
      <c r="D37" s="78">
        <f>SUM(D33:D36)</f>
        <v>0</v>
      </c>
      <c r="E37" s="78">
        <f>SUM(E33:E36)</f>
        <v>0</v>
      </c>
      <c r="F37" s="78">
        <f>SUM(F33:F36)</f>
        <v>0</v>
      </c>
      <c r="G37" s="78">
        <f>SUM(G33:G36)</f>
        <v>0</v>
      </c>
    </row>
    <row r="38" spans="1:7" ht="15.75" thickTop="1">
      <c r="A38" s="18"/>
      <c r="B38" s="90"/>
      <c r="C38" s="90"/>
      <c r="D38" s="90"/>
      <c r="E38" s="90"/>
      <c r="F38" s="90"/>
      <c r="G38" s="77"/>
    </row>
    <row r="39" spans="1:7" ht="15.75" thickBot="1">
      <c r="A39" s="18" t="s">
        <v>762</v>
      </c>
      <c r="B39" s="78">
        <f>B29-B37</f>
        <v>168633.74</v>
      </c>
      <c r="C39" s="78">
        <f t="shared" ref="C39:G39" si="7">C29-C37</f>
        <v>238633.74</v>
      </c>
      <c r="D39" s="78">
        <f t="shared" si="7"/>
        <v>0</v>
      </c>
      <c r="E39" s="78">
        <f t="shared" si="7"/>
        <v>187131.74</v>
      </c>
      <c r="F39" s="78">
        <f t="shared" si="7"/>
        <v>218276.47363636363</v>
      </c>
      <c r="G39" s="78">
        <f t="shared" si="7"/>
        <v>133276.47363636363</v>
      </c>
    </row>
    <row r="40" spans="1:7" ht="15.75" thickTop="1">
      <c r="A40" s="21"/>
      <c r="B40" s="21"/>
      <c r="C40" s="21"/>
      <c r="D40" s="21"/>
      <c r="E40" s="21"/>
      <c r="F40" s="21"/>
      <c r="G40" s="77"/>
    </row>
    <row r="41" spans="1:7">
      <c r="A41" s="66"/>
      <c r="B41" s="81"/>
      <c r="C41" s="81"/>
      <c r="D41" s="81"/>
      <c r="E41" s="81"/>
      <c r="F41" s="81"/>
      <c r="G41" s="77"/>
    </row>
    <row r="42" spans="1:7">
      <c r="A42" s="21" t="s">
        <v>13</v>
      </c>
      <c r="B42" s="81"/>
      <c r="C42" s="81"/>
      <c r="D42" s="81"/>
      <c r="E42" s="81"/>
      <c r="F42" s="81"/>
      <c r="G42" s="77"/>
    </row>
    <row r="43" spans="1:7">
      <c r="A43" s="21"/>
      <c r="B43" s="81"/>
      <c r="C43" s="81"/>
      <c r="D43" s="81"/>
      <c r="E43" s="81"/>
      <c r="F43" s="81"/>
      <c r="G43" s="77"/>
    </row>
    <row r="44" spans="1:7">
      <c r="A44" s="21"/>
      <c r="B44" s="81"/>
      <c r="C44" s="81"/>
      <c r="D44" s="81"/>
      <c r="E44" s="81"/>
      <c r="F44" s="81"/>
      <c r="G44" s="77"/>
    </row>
    <row r="45" spans="1:7">
      <c r="A45" s="21"/>
      <c r="B45" s="81"/>
      <c r="C45" s="81"/>
      <c r="D45" s="81"/>
      <c r="E45" s="81"/>
      <c r="F45" s="81"/>
      <c r="G45" s="77"/>
    </row>
    <row r="46" spans="1:7">
      <c r="A46" s="21"/>
      <c r="B46" s="81"/>
      <c r="C46" s="81"/>
      <c r="D46" s="81"/>
      <c r="E46" s="81"/>
      <c r="F46" s="81"/>
      <c r="G46" s="77"/>
    </row>
  </sheetData>
  <mergeCells count="2">
    <mergeCell ref="A1:G1"/>
    <mergeCell ref="A2:G2"/>
  </mergeCells>
  <pageMargins left="0.7" right="0.7" top="0.75" bottom="0.75" header="0.3" footer="0.3"/>
  <pageSetup scale="71" fitToHeight="0" orientation="portrait" r:id="rId1"/>
  <headerFooter>
    <oddFooter xml:space="preserve">&amp;C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36"/>
  <sheetViews>
    <sheetView workbookViewId="0">
      <pane ySplit="7" topLeftCell="A29" activePane="bottomLeft" state="frozen"/>
      <selection pane="bottomLeft" activeCell="I21" sqref="I21"/>
    </sheetView>
  </sheetViews>
  <sheetFormatPr defaultRowHeight="15"/>
  <cols>
    <col min="1" max="1" width="10.7109375" style="84" customWidth="1"/>
    <col min="2" max="2" width="5.7109375" style="84" customWidth="1"/>
    <col min="3" max="3" width="35.7109375" style="84" customWidth="1"/>
    <col min="4" max="4" width="5.7109375" style="84" customWidth="1"/>
    <col min="5" max="5" width="9.7109375" style="84" bestFit="1" customWidth="1"/>
    <col min="6" max="6" width="17.42578125" style="129" bestFit="1" customWidth="1"/>
    <col min="7" max="7" width="12" style="129" bestFit="1" customWidth="1"/>
    <col min="8" max="8" width="13.28515625" style="129" bestFit="1" customWidth="1"/>
    <col min="9" max="9" width="11.42578125" style="129" bestFit="1" customWidth="1"/>
    <col min="10" max="10" width="30.7109375" style="129" customWidth="1"/>
    <col min="11" max="11" width="20.42578125" style="129" bestFit="1" customWidth="1"/>
    <col min="12" max="12" width="22.140625" style="84" bestFit="1" customWidth="1"/>
    <col min="13" max="14" width="9.140625" style="84"/>
  </cols>
  <sheetData>
    <row r="1" spans="1:14">
      <c r="A1" s="202" t="s">
        <v>1002</v>
      </c>
      <c r="B1" s="202"/>
      <c r="C1" s="202"/>
      <c r="D1" s="202"/>
      <c r="E1" s="202"/>
      <c r="F1" s="202"/>
      <c r="G1" s="23"/>
      <c r="H1" s="21"/>
      <c r="I1" s="21"/>
      <c r="J1" s="21"/>
      <c r="K1" s="21"/>
    </row>
    <row r="2" spans="1:14">
      <c r="A2" s="43"/>
      <c r="B2" s="43"/>
      <c r="C2" s="43"/>
      <c r="D2" s="43"/>
      <c r="E2" s="43"/>
      <c r="F2" s="43"/>
      <c r="G2" s="23"/>
      <c r="H2" s="21"/>
      <c r="I2" s="21"/>
      <c r="J2" s="21"/>
      <c r="K2" s="21"/>
    </row>
    <row r="3" spans="1:14">
      <c r="A3" s="21"/>
      <c r="B3" s="21"/>
      <c r="C3" s="21"/>
      <c r="E3" s="46">
        <v>2020</v>
      </c>
      <c r="F3" s="46">
        <v>2020</v>
      </c>
      <c r="G3" s="39">
        <v>2020</v>
      </c>
      <c r="H3" s="39">
        <v>2020</v>
      </c>
      <c r="I3" s="47" t="s">
        <v>958</v>
      </c>
      <c r="J3" s="48" t="s">
        <v>772</v>
      </c>
      <c r="K3" s="21"/>
    </row>
    <row r="4" spans="1:14">
      <c r="A4" s="21"/>
      <c r="B4" s="21"/>
      <c r="C4" s="21"/>
      <c r="E4" s="49" t="s">
        <v>747</v>
      </c>
      <c r="F4" s="49" t="s">
        <v>748</v>
      </c>
      <c r="G4" s="49" t="s">
        <v>1048</v>
      </c>
      <c r="H4" s="49" t="s">
        <v>789</v>
      </c>
      <c r="I4" s="50" t="s">
        <v>718</v>
      </c>
      <c r="J4" s="18"/>
      <c r="K4" s="21"/>
    </row>
    <row r="5" spans="1:14">
      <c r="A5" s="19"/>
      <c r="B5" s="19"/>
      <c r="C5" s="20"/>
      <c r="E5" s="20"/>
      <c r="F5" s="21"/>
      <c r="G5" s="21"/>
      <c r="H5" s="21"/>
      <c r="I5" s="21"/>
      <c r="J5" s="21"/>
      <c r="K5" s="21"/>
    </row>
    <row r="6" spans="1:14">
      <c r="A6" s="202" t="s">
        <v>920</v>
      </c>
      <c r="B6" s="202"/>
      <c r="C6" s="202"/>
      <c r="D6" s="202"/>
      <c r="E6" s="202"/>
      <c r="F6" s="21"/>
      <c r="G6" s="21"/>
      <c r="H6" s="21"/>
      <c r="I6" s="21"/>
      <c r="J6" s="21"/>
      <c r="K6" s="21"/>
    </row>
    <row r="7" spans="1:14">
      <c r="A7" s="43"/>
      <c r="B7" s="43"/>
      <c r="C7" s="43"/>
      <c r="D7" s="43"/>
      <c r="E7" s="21"/>
      <c r="F7" s="21"/>
      <c r="G7" s="21"/>
      <c r="H7" s="21"/>
      <c r="I7" s="21"/>
      <c r="J7" s="21"/>
      <c r="K7" s="84"/>
      <c r="N7"/>
    </row>
    <row r="8" spans="1:14">
      <c r="A8" s="21"/>
      <c r="B8" s="21"/>
      <c r="C8" s="18" t="s">
        <v>540</v>
      </c>
      <c r="D8" s="21"/>
      <c r="E8" s="23"/>
      <c r="F8" s="23"/>
      <c r="G8" s="23"/>
      <c r="H8" s="23"/>
      <c r="I8" s="23"/>
      <c r="J8" s="23"/>
      <c r="K8" s="21"/>
      <c r="N8"/>
    </row>
    <row r="9" spans="1:14">
      <c r="A9" s="21" t="s">
        <v>541</v>
      </c>
      <c r="B9" s="21"/>
      <c r="C9" s="70" t="s">
        <v>542</v>
      </c>
      <c r="D9" s="21"/>
      <c r="E9" s="22">
        <v>300000</v>
      </c>
      <c r="F9" s="22">
        <v>0</v>
      </c>
      <c r="G9" s="22">
        <v>342592.07</v>
      </c>
      <c r="H9" s="22">
        <f>(G9/11)*12</f>
        <v>373736.80363636365</v>
      </c>
      <c r="I9" s="22">
        <v>375000</v>
      </c>
      <c r="J9" s="22"/>
      <c r="K9" s="21"/>
      <c r="N9"/>
    </row>
    <row r="10" spans="1:14" ht="15.75" thickBot="1">
      <c r="A10" s="21"/>
      <c r="B10" s="21"/>
      <c r="C10" s="18" t="s">
        <v>921</v>
      </c>
      <c r="D10" s="21"/>
      <c r="E10" s="130">
        <f>SUM(E9:E9)</f>
        <v>300000</v>
      </c>
      <c r="F10" s="130"/>
      <c r="G10" s="130">
        <f>SUM(G9:G9)</f>
        <v>342592.07</v>
      </c>
      <c r="H10" s="130">
        <f>SUM(H9:H9)</f>
        <v>373736.80363636365</v>
      </c>
      <c r="I10" s="130">
        <f>SUM(I9:I9)</f>
        <v>375000</v>
      </c>
      <c r="J10" s="21"/>
      <c r="K10" s="84"/>
      <c r="M10"/>
      <c r="N10"/>
    </row>
    <row r="11" spans="1:14" ht="15.75" thickTop="1">
      <c r="A11" s="21"/>
      <c r="B11" s="21"/>
      <c r="C11" s="21"/>
      <c r="D11" s="21"/>
      <c r="E11" s="23"/>
      <c r="F11" s="23"/>
      <c r="G11" s="23"/>
      <c r="H11" s="23"/>
      <c r="I11" s="23"/>
      <c r="J11" s="23"/>
      <c r="K11" s="21"/>
      <c r="N11"/>
    </row>
    <row r="12" spans="1:14" ht="15.75" thickBot="1">
      <c r="A12" s="18" t="s">
        <v>934</v>
      </c>
      <c r="B12" s="21"/>
      <c r="C12" s="18"/>
      <c r="D12" s="21"/>
      <c r="E12" s="131">
        <f>E10</f>
        <v>300000</v>
      </c>
      <c r="F12" s="131">
        <f t="shared" ref="F12:I12" si="0">F10</f>
        <v>0</v>
      </c>
      <c r="G12" s="131">
        <f t="shared" si="0"/>
        <v>342592.07</v>
      </c>
      <c r="H12" s="131">
        <f t="shared" si="0"/>
        <v>373736.80363636365</v>
      </c>
      <c r="I12" s="131">
        <f t="shared" si="0"/>
        <v>375000</v>
      </c>
      <c r="J12" s="21"/>
      <c r="K12" s="84"/>
      <c r="M12"/>
      <c r="N12"/>
    </row>
    <row r="13" spans="1:14" ht="15.75" thickTop="1">
      <c r="A13" s="21"/>
      <c r="B13" s="21"/>
      <c r="C13" s="18"/>
      <c r="D13" s="21"/>
      <c r="E13" s="132"/>
      <c r="F13" s="132"/>
      <c r="G13" s="132"/>
      <c r="H13" s="132"/>
      <c r="I13" s="132"/>
      <c r="J13" s="132"/>
      <c r="K13" s="21"/>
      <c r="N13"/>
    </row>
    <row r="14" spans="1:14">
      <c r="A14" s="21"/>
      <c r="B14" s="21"/>
      <c r="C14" s="18"/>
      <c r="D14" s="21"/>
      <c r="E14" s="132"/>
      <c r="F14" s="132"/>
      <c r="G14" s="132"/>
      <c r="H14" s="132"/>
      <c r="I14" s="132"/>
      <c r="J14" s="132"/>
      <c r="K14" s="21"/>
      <c r="N14"/>
    </row>
    <row r="15" spans="1:14">
      <c r="A15" s="202" t="s">
        <v>998</v>
      </c>
      <c r="B15" s="202"/>
      <c r="C15" s="202"/>
      <c r="D15" s="202"/>
      <c r="E15" s="202"/>
      <c r="F15" s="21"/>
      <c r="G15" s="21"/>
      <c r="H15" s="21"/>
      <c r="I15" s="21"/>
      <c r="J15" s="21"/>
      <c r="K15" s="21"/>
    </row>
    <row r="16" spans="1:14">
      <c r="A16" s="43"/>
      <c r="B16" s="43"/>
      <c r="C16" s="43"/>
      <c r="D16" s="43"/>
      <c r="E16" s="21"/>
      <c r="F16" s="21"/>
      <c r="G16" s="21"/>
      <c r="H16" s="21"/>
      <c r="I16" s="21"/>
      <c r="J16" s="21"/>
      <c r="K16" s="84"/>
      <c r="N16"/>
    </row>
    <row r="17" spans="1:14">
      <c r="A17" s="21"/>
      <c r="B17" s="21"/>
      <c r="C17" s="18" t="s">
        <v>336</v>
      </c>
      <c r="D17" s="21"/>
      <c r="E17" s="23"/>
      <c r="F17" s="23"/>
      <c r="G17" s="23"/>
      <c r="H17" s="23"/>
      <c r="I17" s="23"/>
      <c r="J17" s="23"/>
      <c r="K17" s="21"/>
      <c r="N17"/>
    </row>
    <row r="18" spans="1:14">
      <c r="A18" s="21" t="s">
        <v>543</v>
      </c>
      <c r="B18" s="21"/>
      <c r="C18" s="70" t="s">
        <v>538</v>
      </c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1" t="s">
        <v>13</v>
      </c>
      <c r="K18" s="84"/>
      <c r="M18"/>
      <c r="N18"/>
    </row>
    <row r="19" spans="1:14">
      <c r="A19" s="21" t="s">
        <v>544</v>
      </c>
      <c r="B19" s="21"/>
      <c r="C19" s="70" t="s">
        <v>545</v>
      </c>
      <c r="D19" s="21"/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1"/>
      <c r="K19" s="84"/>
      <c r="M19"/>
      <c r="N19"/>
    </row>
    <row r="20" spans="1:14">
      <c r="A20" s="21" t="s">
        <v>546</v>
      </c>
      <c r="B20" s="21"/>
      <c r="C20" s="70" t="s">
        <v>547</v>
      </c>
      <c r="D20" s="21"/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1"/>
      <c r="K20" s="84"/>
      <c r="M20"/>
      <c r="N20"/>
    </row>
    <row r="21" spans="1:14">
      <c r="A21" s="21" t="s">
        <v>548</v>
      </c>
      <c r="B21" s="21"/>
      <c r="C21" s="70" t="s">
        <v>549</v>
      </c>
      <c r="D21" s="21"/>
      <c r="E21" s="22">
        <v>0</v>
      </c>
      <c r="F21" s="22">
        <v>0</v>
      </c>
      <c r="G21" s="22">
        <v>0</v>
      </c>
      <c r="H21" s="22">
        <v>0</v>
      </c>
      <c r="I21" s="22">
        <v>110000</v>
      </c>
      <c r="J21" s="21"/>
      <c r="K21" s="84"/>
      <c r="M21"/>
      <c r="N21"/>
    </row>
    <row r="22" spans="1:14">
      <c r="A22" s="21" t="s">
        <v>550</v>
      </c>
      <c r="B22" s="21"/>
      <c r="C22" s="70" t="s">
        <v>551</v>
      </c>
      <c r="D22" s="21"/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1"/>
      <c r="K22" s="84"/>
      <c r="M22"/>
      <c r="N22"/>
    </row>
    <row r="23" spans="1:14" ht="15.75" thickBot="1">
      <c r="A23" s="21" t="s">
        <v>13</v>
      </c>
      <c r="B23" s="21"/>
      <c r="C23" s="18" t="s">
        <v>840</v>
      </c>
      <c r="D23" s="21"/>
      <c r="E23" s="130">
        <f>SUM(E18:E22)</f>
        <v>0</v>
      </c>
      <c r="F23" s="130">
        <f t="shared" ref="F23:I23" si="1">SUM(F18:F22)</f>
        <v>0</v>
      </c>
      <c r="G23" s="130">
        <f t="shared" si="1"/>
        <v>0</v>
      </c>
      <c r="H23" s="130">
        <f t="shared" si="1"/>
        <v>0</v>
      </c>
      <c r="I23" s="130">
        <f t="shared" si="1"/>
        <v>110000</v>
      </c>
      <c r="J23" s="21"/>
      <c r="K23" s="84"/>
      <c r="M23"/>
      <c r="N23"/>
    </row>
    <row r="24" spans="1:14" ht="15.75" thickTop="1">
      <c r="A24" s="21"/>
      <c r="B24" s="21"/>
      <c r="C24" s="21"/>
      <c r="D24" s="21"/>
      <c r="E24" s="22"/>
      <c r="F24" s="22"/>
      <c r="G24" s="22"/>
      <c r="H24" s="22"/>
      <c r="I24" s="22"/>
      <c r="J24" s="22"/>
      <c r="K24" s="21"/>
      <c r="N24"/>
    </row>
    <row r="25" spans="1:14">
      <c r="A25" s="21" t="s">
        <v>13</v>
      </c>
      <c r="B25" s="21"/>
      <c r="C25" s="18" t="s">
        <v>223</v>
      </c>
      <c r="D25" s="21"/>
      <c r="E25" s="22" t="s">
        <v>13</v>
      </c>
      <c r="F25" s="22" t="s">
        <v>13</v>
      </c>
      <c r="G25" s="22" t="s">
        <v>13</v>
      </c>
      <c r="H25" s="22" t="s">
        <v>13</v>
      </c>
      <c r="I25" s="22" t="s">
        <v>13</v>
      </c>
      <c r="J25" s="22"/>
      <c r="K25" s="21"/>
      <c r="N25"/>
    </row>
    <row r="26" spans="1:14">
      <c r="A26" s="21" t="s">
        <v>552</v>
      </c>
      <c r="B26" s="21"/>
      <c r="C26" s="70" t="s">
        <v>553</v>
      </c>
      <c r="D26" s="21"/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/>
      <c r="K26" s="21"/>
      <c r="N26"/>
    </row>
    <row r="27" spans="1:14">
      <c r="A27" s="21" t="s">
        <v>554</v>
      </c>
      <c r="B27" s="21"/>
      <c r="C27" s="70" t="s">
        <v>555</v>
      </c>
      <c r="D27" s="21"/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/>
      <c r="K27" s="21"/>
      <c r="N27"/>
    </row>
    <row r="28" spans="1:14">
      <c r="A28" s="21" t="s">
        <v>556</v>
      </c>
      <c r="B28" s="21"/>
      <c r="C28" s="70" t="s">
        <v>557</v>
      </c>
      <c r="D28" s="21"/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/>
      <c r="K28" s="21"/>
      <c r="N28"/>
    </row>
    <row r="29" spans="1:14">
      <c r="A29" s="21" t="s">
        <v>558</v>
      </c>
      <c r="B29" s="21"/>
      <c r="C29" s="70" t="s">
        <v>559</v>
      </c>
      <c r="D29" s="21"/>
      <c r="E29" s="22">
        <v>50000</v>
      </c>
      <c r="F29" s="22">
        <v>0</v>
      </c>
      <c r="G29" s="22">
        <v>324094.07</v>
      </c>
      <c r="H29" s="22">
        <v>324094.07</v>
      </c>
      <c r="I29" s="22">
        <v>350000</v>
      </c>
      <c r="J29" s="22"/>
      <c r="K29" s="21"/>
      <c r="N29"/>
    </row>
    <row r="30" spans="1:14">
      <c r="A30" s="21" t="s">
        <v>560</v>
      </c>
      <c r="B30" s="21"/>
      <c r="C30" s="70" t="s">
        <v>561</v>
      </c>
      <c r="D30" s="21"/>
      <c r="E30" s="22">
        <v>20000</v>
      </c>
      <c r="F30" s="22">
        <v>0</v>
      </c>
      <c r="G30" s="22">
        <v>0</v>
      </c>
      <c r="H30" s="22">
        <v>0</v>
      </c>
      <c r="I30" s="22">
        <v>0</v>
      </c>
      <c r="J30" s="22"/>
      <c r="K30" s="21"/>
      <c r="N30"/>
    </row>
    <row r="31" spans="1:14">
      <c r="A31" s="21" t="s">
        <v>562</v>
      </c>
      <c r="B31" s="21"/>
      <c r="C31" s="70" t="s">
        <v>563</v>
      </c>
      <c r="D31" s="21"/>
      <c r="E31" s="22">
        <v>20000</v>
      </c>
      <c r="F31" s="22">
        <v>0</v>
      </c>
      <c r="G31" s="22">
        <v>0</v>
      </c>
      <c r="H31" s="22">
        <v>0</v>
      </c>
      <c r="I31" s="22">
        <v>0</v>
      </c>
      <c r="J31" s="22"/>
      <c r="K31" s="21"/>
      <c r="N31"/>
    </row>
    <row r="32" spans="1:14">
      <c r="A32" s="21" t="s">
        <v>564</v>
      </c>
      <c r="B32" s="21"/>
      <c r="C32" s="70" t="s">
        <v>565</v>
      </c>
      <c r="D32" s="21"/>
      <c r="E32" s="22">
        <v>25000</v>
      </c>
      <c r="F32" s="22">
        <v>0</v>
      </c>
      <c r="G32" s="22">
        <v>0</v>
      </c>
      <c r="H32" s="22">
        <v>0</v>
      </c>
      <c r="I32" s="22">
        <v>0</v>
      </c>
      <c r="J32" s="22"/>
      <c r="K32" s="21"/>
      <c r="N32"/>
    </row>
    <row r="33" spans="1:14">
      <c r="A33" s="21" t="s">
        <v>566</v>
      </c>
      <c r="B33" s="21"/>
      <c r="C33" s="70" t="s">
        <v>567</v>
      </c>
      <c r="D33" s="21"/>
      <c r="E33" s="22">
        <v>20000</v>
      </c>
      <c r="F33" s="22">
        <v>0</v>
      </c>
      <c r="G33" s="22">
        <v>0</v>
      </c>
      <c r="H33" s="22">
        <v>0</v>
      </c>
      <c r="I33" s="22">
        <v>0</v>
      </c>
      <c r="J33" s="22"/>
      <c r="K33" s="21"/>
      <c r="N33"/>
    </row>
    <row r="34" spans="1:14">
      <c r="A34" s="21" t="s">
        <v>568</v>
      </c>
      <c r="B34" s="21"/>
      <c r="C34" s="70" t="s">
        <v>569</v>
      </c>
      <c r="D34" s="21"/>
      <c r="E34" s="22">
        <v>20000</v>
      </c>
      <c r="F34" s="22">
        <v>0</v>
      </c>
      <c r="G34" s="22">
        <v>0</v>
      </c>
      <c r="H34" s="22">
        <v>0</v>
      </c>
      <c r="I34" s="22">
        <v>0</v>
      </c>
      <c r="J34" s="22"/>
      <c r="K34" s="21"/>
      <c r="N34"/>
    </row>
    <row r="35" spans="1:14">
      <c r="A35" s="21" t="s">
        <v>570</v>
      </c>
      <c r="B35" s="21"/>
      <c r="C35" s="70" t="s">
        <v>571</v>
      </c>
      <c r="D35" s="21"/>
      <c r="E35" s="22">
        <v>75000</v>
      </c>
      <c r="F35" s="22">
        <v>0</v>
      </c>
      <c r="G35" s="22">
        <v>0</v>
      </c>
      <c r="H35" s="22">
        <v>0</v>
      </c>
      <c r="I35" s="22">
        <v>0</v>
      </c>
      <c r="J35" s="22"/>
      <c r="K35" s="21"/>
      <c r="N35"/>
    </row>
    <row r="36" spans="1:14">
      <c r="A36" s="21" t="s">
        <v>572</v>
      </c>
      <c r="B36" s="21"/>
      <c r="C36" s="70" t="s">
        <v>573</v>
      </c>
      <c r="D36" s="21"/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/>
      <c r="K36" s="21"/>
      <c r="N36"/>
    </row>
    <row r="37" spans="1:14">
      <c r="A37" s="21" t="s">
        <v>574</v>
      </c>
      <c r="B37" s="21"/>
      <c r="C37" s="70" t="s">
        <v>575</v>
      </c>
      <c r="D37" s="21"/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/>
      <c r="K37" s="21"/>
      <c r="N37"/>
    </row>
    <row r="38" spans="1:14">
      <c r="A38" s="21" t="s">
        <v>576</v>
      </c>
      <c r="B38" s="21"/>
      <c r="C38" s="70" t="s">
        <v>577</v>
      </c>
      <c r="D38" s="21"/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/>
      <c r="K38" s="21"/>
      <c r="N38"/>
    </row>
    <row r="39" spans="1:14">
      <c r="A39" s="21" t="s">
        <v>578</v>
      </c>
      <c r="B39" s="21"/>
      <c r="C39" s="70" t="s">
        <v>579</v>
      </c>
      <c r="D39" s="21"/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/>
      <c r="K39" s="21"/>
      <c r="N39"/>
    </row>
    <row r="40" spans="1:14">
      <c r="A40" s="21" t="s">
        <v>580</v>
      </c>
      <c r="B40" s="21"/>
      <c r="C40" s="70" t="s">
        <v>581</v>
      </c>
      <c r="D40" s="21"/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/>
      <c r="K40" s="21"/>
      <c r="N40"/>
    </row>
    <row r="41" spans="1:14">
      <c r="A41" s="21" t="s">
        <v>582</v>
      </c>
      <c r="B41" s="21"/>
      <c r="C41" s="70" t="s">
        <v>583</v>
      </c>
      <c r="D41" s="21"/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/>
      <c r="K41" s="21"/>
      <c r="N41"/>
    </row>
    <row r="42" spans="1:14">
      <c r="A42" s="21" t="s">
        <v>584</v>
      </c>
      <c r="B42" s="21"/>
      <c r="C42" s="70" t="s">
        <v>585</v>
      </c>
      <c r="D42" s="21"/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/>
      <c r="K42" s="21"/>
      <c r="N42"/>
    </row>
    <row r="43" spans="1:14">
      <c r="A43" s="21" t="s">
        <v>586</v>
      </c>
      <c r="B43" s="21"/>
      <c r="C43" s="70" t="s">
        <v>587</v>
      </c>
      <c r="D43" s="21"/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/>
      <c r="K43" s="21"/>
      <c r="N43"/>
    </row>
    <row r="44" spans="1:14">
      <c r="A44" s="21" t="s">
        <v>588</v>
      </c>
      <c r="B44" s="21"/>
      <c r="C44" s="70" t="s">
        <v>589</v>
      </c>
      <c r="D44" s="21"/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1"/>
      <c r="K44" s="84"/>
      <c r="M44"/>
      <c r="N44"/>
    </row>
    <row r="45" spans="1:14" ht="15.75" thickBot="1">
      <c r="A45" s="21" t="s">
        <v>13</v>
      </c>
      <c r="B45" s="21"/>
      <c r="C45" s="18" t="s">
        <v>822</v>
      </c>
      <c r="D45" s="21"/>
      <c r="E45" s="130">
        <f>SUM(E26:E44)</f>
        <v>230000</v>
      </c>
      <c r="F45" s="130">
        <f>SUM(F26:F44)</f>
        <v>0</v>
      </c>
      <c r="G45" s="130">
        <f>SUM(G26:G44)</f>
        <v>324094.07</v>
      </c>
      <c r="H45" s="130">
        <f>SUM(H26:H44)</f>
        <v>324094.07</v>
      </c>
      <c r="I45" s="130">
        <f>SUM(I26:I44)</f>
        <v>350000</v>
      </c>
      <c r="J45" s="21"/>
      <c r="K45" s="84"/>
      <c r="M45"/>
      <c r="N45"/>
    </row>
    <row r="46" spans="1:14" ht="15.75" thickTop="1">
      <c r="A46" s="21"/>
      <c r="B46" s="21"/>
      <c r="C46" s="21"/>
      <c r="D46" s="21"/>
      <c r="E46" s="23"/>
      <c r="F46" s="23"/>
      <c r="G46" s="23"/>
      <c r="H46" s="23"/>
      <c r="I46" s="23"/>
      <c r="J46" s="21"/>
      <c r="K46" s="84"/>
      <c r="M46"/>
      <c r="N46"/>
    </row>
    <row r="47" spans="1:14">
      <c r="A47" s="21"/>
      <c r="B47" s="21"/>
      <c r="C47" s="18" t="s">
        <v>22</v>
      </c>
      <c r="D47" s="21"/>
      <c r="E47" s="23"/>
      <c r="F47" s="23"/>
      <c r="G47" s="23"/>
      <c r="H47" s="23"/>
      <c r="I47" s="23"/>
      <c r="J47" s="21"/>
      <c r="K47" s="84"/>
      <c r="M47"/>
      <c r="N47"/>
    </row>
    <row r="48" spans="1:14">
      <c r="A48" s="21" t="s">
        <v>590</v>
      </c>
      <c r="B48" s="21"/>
      <c r="C48" s="70" t="s">
        <v>591</v>
      </c>
      <c r="D48" s="21"/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1"/>
      <c r="K48" s="84"/>
      <c r="M48"/>
      <c r="N48"/>
    </row>
    <row r="49" spans="1:14" ht="15.75" thickBot="1">
      <c r="A49" s="21" t="s">
        <v>13</v>
      </c>
      <c r="B49" s="21"/>
      <c r="C49" s="18" t="s">
        <v>856</v>
      </c>
      <c r="D49" s="21"/>
      <c r="E49" s="130">
        <f>SUM(E48)</f>
        <v>0</v>
      </c>
      <c r="F49" s="130">
        <f t="shared" ref="F49:I49" si="2">SUM(F48)</f>
        <v>0</v>
      </c>
      <c r="G49" s="130">
        <f t="shared" si="2"/>
        <v>0</v>
      </c>
      <c r="H49" s="130">
        <f t="shared" si="2"/>
        <v>0</v>
      </c>
      <c r="I49" s="130">
        <f t="shared" si="2"/>
        <v>0</v>
      </c>
      <c r="J49" s="21"/>
      <c r="K49" s="84"/>
      <c r="M49"/>
      <c r="N49"/>
    </row>
    <row r="50" spans="1:14" ht="15.75" thickTop="1">
      <c r="A50" s="21"/>
      <c r="B50" s="21"/>
      <c r="C50" s="21"/>
      <c r="D50" s="21"/>
      <c r="E50" s="22"/>
      <c r="F50" s="22"/>
      <c r="G50" s="22"/>
      <c r="H50" s="22"/>
      <c r="I50" s="22"/>
      <c r="J50" s="21"/>
      <c r="K50" s="84"/>
      <c r="M50"/>
      <c r="N50"/>
    </row>
    <row r="51" spans="1:14">
      <c r="A51" s="21" t="s">
        <v>13</v>
      </c>
      <c r="B51" s="21"/>
      <c r="C51" s="18" t="s">
        <v>37</v>
      </c>
      <c r="D51" s="21"/>
      <c r="E51" s="22" t="s">
        <v>13</v>
      </c>
      <c r="F51" s="22" t="s">
        <v>13</v>
      </c>
      <c r="G51" s="22" t="s">
        <v>13</v>
      </c>
      <c r="H51" s="22" t="s">
        <v>13</v>
      </c>
      <c r="I51" s="22" t="s">
        <v>13</v>
      </c>
      <c r="J51" s="21"/>
      <c r="K51" s="84"/>
      <c r="M51"/>
      <c r="N51"/>
    </row>
    <row r="52" spans="1:14">
      <c r="A52" s="21" t="s">
        <v>592</v>
      </c>
      <c r="B52" s="21"/>
      <c r="C52" s="70" t="s">
        <v>593</v>
      </c>
      <c r="D52" s="21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1"/>
      <c r="K52" s="84"/>
      <c r="M52"/>
      <c r="N52"/>
    </row>
    <row r="53" spans="1:14" ht="15.75" thickBot="1">
      <c r="A53" s="21" t="s">
        <v>13</v>
      </c>
      <c r="B53" s="21"/>
      <c r="C53" s="18" t="s">
        <v>935</v>
      </c>
      <c r="D53" s="21"/>
      <c r="E53" s="130">
        <f>SUM(E52)</f>
        <v>0</v>
      </c>
      <c r="F53" s="130">
        <f t="shared" ref="F53:I53" si="3">SUM(F52)</f>
        <v>0</v>
      </c>
      <c r="G53" s="130">
        <f t="shared" si="3"/>
        <v>0</v>
      </c>
      <c r="H53" s="130">
        <f t="shared" si="3"/>
        <v>0</v>
      </c>
      <c r="I53" s="130">
        <f t="shared" si="3"/>
        <v>0</v>
      </c>
      <c r="J53" s="21"/>
      <c r="K53" s="84"/>
      <c r="M53"/>
      <c r="N53"/>
    </row>
    <row r="54" spans="1:14" ht="16.5" thickTop="1" thickBot="1">
      <c r="A54" s="21"/>
      <c r="B54" s="21"/>
      <c r="C54" s="21"/>
      <c r="D54" s="21"/>
      <c r="E54" s="130"/>
      <c r="F54" s="130"/>
      <c r="G54" s="130"/>
      <c r="H54" s="130"/>
      <c r="I54" s="130"/>
      <c r="J54" s="21"/>
      <c r="K54" s="84"/>
      <c r="M54"/>
      <c r="N54"/>
    </row>
    <row r="55" spans="1:14" ht="16.5" thickTop="1" thickBot="1">
      <c r="A55" s="18" t="s">
        <v>999</v>
      </c>
      <c r="B55" s="21"/>
      <c r="C55" s="18"/>
      <c r="D55" s="21"/>
      <c r="E55" s="131">
        <f>E23+E45+E49+E53</f>
        <v>230000</v>
      </c>
      <c r="F55" s="131">
        <f>F23+F45+F49+F53</f>
        <v>0</v>
      </c>
      <c r="G55" s="131">
        <f>G23+G45+G49+G53</f>
        <v>324094.07</v>
      </c>
      <c r="H55" s="131">
        <f>H23+H45+H49+H53</f>
        <v>324094.07</v>
      </c>
      <c r="I55" s="131">
        <f>I23+I45+I49+I53</f>
        <v>460000</v>
      </c>
      <c r="J55" s="21"/>
      <c r="K55" s="84"/>
      <c r="M55"/>
      <c r="N55"/>
    </row>
    <row r="56" spans="1:14" ht="15.75" thickTop="1">
      <c r="A56" s="21"/>
      <c r="B56" s="21"/>
      <c r="C56" s="21"/>
      <c r="D56" s="21"/>
      <c r="E56" s="23"/>
      <c r="F56" s="23"/>
      <c r="G56" s="23"/>
      <c r="H56" s="23"/>
      <c r="I56" s="23"/>
      <c r="J56" s="23"/>
      <c r="K56" s="21"/>
      <c r="N56"/>
    </row>
    <row r="57" spans="1:14">
      <c r="A57" s="21"/>
      <c r="B57" s="21"/>
      <c r="C57" s="21"/>
      <c r="D57" s="21"/>
      <c r="E57" s="23"/>
      <c r="F57" s="23"/>
      <c r="G57" s="23"/>
      <c r="H57" s="23"/>
      <c r="I57" s="23"/>
      <c r="J57" s="23"/>
      <c r="K57" s="21"/>
      <c r="N57"/>
    </row>
    <row r="58" spans="1:14">
      <c r="A58" s="21"/>
      <c r="B58" s="21"/>
      <c r="C58" s="21"/>
      <c r="D58" s="21"/>
      <c r="E58" s="23"/>
      <c r="F58" s="23"/>
      <c r="G58" s="23"/>
      <c r="H58" s="23"/>
      <c r="I58" s="23"/>
      <c r="J58" s="23"/>
      <c r="K58" s="21"/>
      <c r="N58"/>
    </row>
    <row r="59" spans="1:14">
      <c r="A59" s="21"/>
      <c r="B59" s="21"/>
      <c r="C59" s="21"/>
      <c r="D59" s="21"/>
      <c r="E59" s="23"/>
      <c r="F59" s="23"/>
      <c r="G59" s="23"/>
      <c r="H59" s="23"/>
      <c r="I59" s="23"/>
      <c r="J59" s="23"/>
      <c r="K59" s="21"/>
      <c r="N59"/>
    </row>
    <row r="60" spans="1:14">
      <c r="E60" s="129"/>
      <c r="K60" s="84"/>
      <c r="N60"/>
    </row>
    <row r="61" spans="1:14">
      <c r="E61" s="129"/>
      <c r="K61" s="84"/>
      <c r="N61"/>
    </row>
    <row r="62" spans="1:14">
      <c r="E62" s="129"/>
      <c r="K62" s="84"/>
      <c r="N62"/>
    </row>
    <row r="63" spans="1:14">
      <c r="E63" s="129"/>
      <c r="K63" s="84"/>
      <c r="N63"/>
    </row>
    <row r="64" spans="1:14">
      <c r="E64" s="129"/>
      <c r="K64" s="84"/>
      <c r="N64"/>
    </row>
    <row r="65" spans="5:14">
      <c r="E65" s="129"/>
      <c r="K65" s="84"/>
      <c r="N65"/>
    </row>
    <row r="66" spans="5:14">
      <c r="E66" s="129"/>
      <c r="K66" s="84"/>
      <c r="N66"/>
    </row>
    <row r="67" spans="5:14">
      <c r="E67" s="129"/>
      <c r="K67" s="84"/>
      <c r="N67"/>
    </row>
    <row r="68" spans="5:14">
      <c r="E68" s="129"/>
      <c r="K68" s="84"/>
      <c r="N68"/>
    </row>
    <row r="69" spans="5:14">
      <c r="E69" s="129"/>
      <c r="K69" s="84"/>
      <c r="N69"/>
    </row>
    <row r="70" spans="5:14">
      <c r="E70" s="129"/>
      <c r="K70" s="84"/>
      <c r="N70"/>
    </row>
    <row r="71" spans="5:14">
      <c r="E71" s="129"/>
      <c r="K71" s="84"/>
      <c r="N71"/>
    </row>
    <row r="72" spans="5:14">
      <c r="E72" s="129"/>
      <c r="K72" s="84"/>
      <c r="N72"/>
    </row>
    <row r="73" spans="5:14">
      <c r="E73" s="129"/>
      <c r="K73" s="84"/>
      <c r="N73"/>
    </row>
    <row r="74" spans="5:14">
      <c r="E74" s="129"/>
      <c r="K74" s="84"/>
      <c r="N74"/>
    </row>
    <row r="75" spans="5:14">
      <c r="E75" s="129"/>
      <c r="K75" s="84"/>
      <c r="N75"/>
    </row>
    <row r="76" spans="5:14">
      <c r="E76" s="129"/>
      <c r="K76" s="84"/>
      <c r="N76"/>
    </row>
    <row r="77" spans="5:14">
      <c r="E77" s="129"/>
      <c r="K77" s="84"/>
      <c r="N77"/>
    </row>
    <row r="78" spans="5:14">
      <c r="E78" s="129"/>
      <c r="K78" s="84"/>
      <c r="N78"/>
    </row>
    <row r="79" spans="5:14">
      <c r="E79" s="129"/>
      <c r="K79" s="84"/>
      <c r="N79"/>
    </row>
    <row r="80" spans="5:14">
      <c r="E80" s="129"/>
      <c r="K80" s="84"/>
      <c r="N80"/>
    </row>
    <row r="81" spans="5:14">
      <c r="E81" s="129"/>
      <c r="K81" s="84"/>
      <c r="N81"/>
    </row>
    <row r="82" spans="5:14">
      <c r="E82" s="129"/>
      <c r="K82" s="84"/>
      <c r="N82"/>
    </row>
    <row r="83" spans="5:14">
      <c r="E83" s="129"/>
      <c r="K83" s="84"/>
      <c r="N83"/>
    </row>
    <row r="84" spans="5:14">
      <c r="E84" s="129"/>
      <c r="K84" s="84"/>
      <c r="N84"/>
    </row>
    <row r="85" spans="5:14">
      <c r="E85" s="129"/>
      <c r="K85" s="84"/>
      <c r="N85"/>
    </row>
    <row r="86" spans="5:14">
      <c r="E86" s="129"/>
      <c r="K86" s="84"/>
      <c r="N86"/>
    </row>
    <row r="87" spans="5:14">
      <c r="E87" s="129"/>
      <c r="K87" s="84"/>
      <c r="N87"/>
    </row>
    <row r="88" spans="5:14">
      <c r="E88" s="129"/>
      <c r="K88" s="84"/>
      <c r="N88"/>
    </row>
    <row r="89" spans="5:14">
      <c r="E89" s="129"/>
      <c r="K89" s="84"/>
      <c r="N89"/>
    </row>
    <row r="90" spans="5:14">
      <c r="E90" s="129"/>
      <c r="K90" s="84"/>
      <c r="N90"/>
    </row>
    <row r="91" spans="5:14">
      <c r="E91" s="129"/>
      <c r="K91" s="84"/>
      <c r="N91"/>
    </row>
    <row r="92" spans="5:14">
      <c r="E92" s="129"/>
      <c r="K92" s="84"/>
      <c r="N92"/>
    </row>
    <row r="93" spans="5:14">
      <c r="E93" s="129"/>
      <c r="K93" s="84"/>
      <c r="N93"/>
    </row>
    <row r="94" spans="5:14">
      <c r="E94" s="129"/>
      <c r="K94" s="84"/>
      <c r="N94"/>
    </row>
    <row r="95" spans="5:14">
      <c r="E95" s="129"/>
      <c r="K95" s="84"/>
      <c r="N95"/>
    </row>
    <row r="96" spans="5:14">
      <c r="E96" s="129"/>
      <c r="K96" s="84"/>
      <c r="N96"/>
    </row>
    <row r="97" spans="5:14">
      <c r="E97" s="129"/>
      <c r="K97" s="84"/>
      <c r="N97"/>
    </row>
    <row r="98" spans="5:14">
      <c r="E98" s="129"/>
      <c r="K98" s="84"/>
      <c r="N98"/>
    </row>
    <row r="99" spans="5:14">
      <c r="E99" s="129"/>
      <c r="K99" s="84"/>
      <c r="N99"/>
    </row>
    <row r="100" spans="5:14">
      <c r="E100" s="129"/>
      <c r="K100" s="84"/>
      <c r="N100"/>
    </row>
    <row r="101" spans="5:14">
      <c r="E101" s="129"/>
      <c r="K101" s="84"/>
      <c r="N101"/>
    </row>
    <row r="102" spans="5:14">
      <c r="E102" s="129"/>
      <c r="K102" s="84"/>
      <c r="N102"/>
    </row>
    <row r="103" spans="5:14">
      <c r="E103" s="129"/>
      <c r="K103" s="84"/>
      <c r="N103"/>
    </row>
    <row r="104" spans="5:14">
      <c r="E104" s="129"/>
      <c r="K104" s="84"/>
      <c r="N104"/>
    </row>
    <row r="105" spans="5:14">
      <c r="E105" s="129"/>
      <c r="K105" s="84"/>
      <c r="N105"/>
    </row>
    <row r="106" spans="5:14">
      <c r="E106" s="129"/>
      <c r="K106" s="84"/>
      <c r="N106"/>
    </row>
    <row r="107" spans="5:14">
      <c r="E107" s="129"/>
      <c r="K107" s="84"/>
      <c r="N107"/>
    </row>
    <row r="108" spans="5:14">
      <c r="E108" s="129"/>
      <c r="K108" s="84"/>
      <c r="N108"/>
    </row>
    <row r="109" spans="5:14">
      <c r="E109" s="129"/>
      <c r="K109" s="84"/>
      <c r="N109"/>
    </row>
    <row r="110" spans="5:14">
      <c r="E110" s="129"/>
      <c r="K110" s="84"/>
      <c r="N110"/>
    </row>
    <row r="111" spans="5:14">
      <c r="E111" s="129"/>
      <c r="K111" s="84"/>
      <c r="N111"/>
    </row>
    <row r="112" spans="5:14">
      <c r="E112" s="129"/>
      <c r="K112" s="84"/>
      <c r="N112"/>
    </row>
    <row r="113" spans="5:14">
      <c r="E113" s="129"/>
      <c r="K113" s="84"/>
      <c r="N113"/>
    </row>
    <row r="114" spans="5:14">
      <c r="E114" s="129"/>
      <c r="K114" s="84"/>
      <c r="N114"/>
    </row>
    <row r="115" spans="5:14">
      <c r="E115" s="129"/>
      <c r="K115" s="84"/>
      <c r="N115"/>
    </row>
    <row r="116" spans="5:14">
      <c r="E116" s="129"/>
      <c r="K116" s="84"/>
      <c r="N116"/>
    </row>
    <row r="117" spans="5:14">
      <c r="E117" s="129"/>
      <c r="K117" s="84"/>
      <c r="N117"/>
    </row>
    <row r="118" spans="5:14">
      <c r="E118" s="129"/>
      <c r="K118" s="84"/>
      <c r="N118"/>
    </row>
    <row r="119" spans="5:14">
      <c r="E119" s="129"/>
      <c r="K119" s="84"/>
      <c r="N119"/>
    </row>
    <row r="120" spans="5:14">
      <c r="E120" s="129"/>
      <c r="K120" s="84"/>
      <c r="N120"/>
    </row>
    <row r="121" spans="5:14">
      <c r="E121" s="129"/>
      <c r="K121" s="84"/>
      <c r="N121"/>
    </row>
    <row r="122" spans="5:14">
      <c r="E122" s="129"/>
      <c r="K122" s="84"/>
      <c r="N122"/>
    </row>
    <row r="123" spans="5:14">
      <c r="E123" s="129"/>
      <c r="K123" s="84"/>
      <c r="N123"/>
    </row>
    <row r="124" spans="5:14">
      <c r="E124" s="129"/>
      <c r="K124" s="84"/>
      <c r="N124"/>
    </row>
    <row r="125" spans="5:14">
      <c r="E125" s="129"/>
      <c r="K125" s="84"/>
      <c r="N125"/>
    </row>
    <row r="126" spans="5:14">
      <c r="E126" s="129"/>
      <c r="K126" s="84"/>
      <c r="N126"/>
    </row>
    <row r="127" spans="5:14">
      <c r="E127" s="129"/>
      <c r="K127" s="84"/>
      <c r="N127"/>
    </row>
    <row r="128" spans="5:14">
      <c r="E128" s="129"/>
      <c r="K128" s="84"/>
      <c r="N128"/>
    </row>
    <row r="129" spans="5:14">
      <c r="E129" s="129"/>
      <c r="K129" s="84"/>
      <c r="N129"/>
    </row>
    <row r="130" spans="5:14">
      <c r="E130" s="129"/>
      <c r="K130" s="84"/>
      <c r="N130"/>
    </row>
    <row r="131" spans="5:14">
      <c r="E131" s="129"/>
      <c r="K131" s="84"/>
      <c r="N131"/>
    </row>
    <row r="132" spans="5:14">
      <c r="E132" s="129"/>
      <c r="K132" s="84"/>
      <c r="N132"/>
    </row>
    <row r="133" spans="5:14">
      <c r="E133" s="129"/>
      <c r="K133" s="84"/>
      <c r="N133"/>
    </row>
    <row r="134" spans="5:14">
      <c r="E134" s="129"/>
      <c r="K134" s="84"/>
      <c r="N134"/>
    </row>
    <row r="135" spans="5:14">
      <c r="E135" s="129"/>
      <c r="K135" s="84"/>
      <c r="N135"/>
    </row>
    <row r="136" spans="5:14">
      <c r="E136" s="129"/>
      <c r="K136" s="84"/>
      <c r="N136"/>
    </row>
  </sheetData>
  <mergeCells count="3">
    <mergeCell ref="A1:F1"/>
    <mergeCell ref="A6:E6"/>
    <mergeCell ref="A15:E15"/>
  </mergeCells>
  <pageMargins left="0.7" right="0.7" top="0.75" bottom="0.75" header="0.3" footer="0.3"/>
  <pageSetup scale="80" fitToHeight="0" orientation="landscape" r:id="rId1"/>
  <headerFooter>
    <oddFooter>&amp;L&amp;D&amp;CWorksheet 
Page &amp;P&amp;R&amp;T</oddFooter>
  </headerFooter>
  <rowBreaks count="1" manualBreakCount="1">
    <brk id="1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6"/>
  <sheetViews>
    <sheetView topLeftCell="A16" workbookViewId="0">
      <selection activeCell="G39" sqref="G39"/>
    </sheetView>
  </sheetViews>
  <sheetFormatPr defaultRowHeight="15"/>
  <cols>
    <col min="1" max="1" width="42.140625" bestFit="1" customWidth="1"/>
    <col min="2" max="3" width="14.42578125" style="1" bestFit="1" customWidth="1"/>
    <col min="4" max="4" width="17.42578125" style="1" bestFit="1" customWidth="1"/>
    <col min="5" max="5" width="14.42578125" style="1" bestFit="1" customWidth="1"/>
    <col min="6" max="6" width="13.28515625" style="1" customWidth="1"/>
    <col min="7" max="7" width="14.42578125" style="1" bestFit="1" customWidth="1"/>
    <col min="8" max="8" width="30.5703125" bestFit="1" customWidth="1"/>
  </cols>
  <sheetData>
    <row r="1" spans="1:9">
      <c r="A1" s="200" t="s">
        <v>41</v>
      </c>
      <c r="B1" s="200"/>
      <c r="C1" s="200"/>
      <c r="D1" s="200"/>
      <c r="E1" s="200"/>
      <c r="F1" s="200"/>
      <c r="G1" s="200"/>
      <c r="H1" s="84"/>
      <c r="I1" s="84"/>
    </row>
    <row r="2" spans="1:9">
      <c r="A2" s="200" t="s">
        <v>1001</v>
      </c>
      <c r="B2" s="200"/>
      <c r="C2" s="200"/>
      <c r="D2" s="200"/>
      <c r="E2" s="200"/>
      <c r="F2" s="200"/>
      <c r="G2" s="200"/>
      <c r="H2" s="84"/>
      <c r="I2" s="84"/>
    </row>
    <row r="3" spans="1:9" ht="7.5" customHeight="1">
      <c r="A3" s="18" t="s">
        <v>13</v>
      </c>
      <c r="B3" s="76" t="s">
        <v>13</v>
      </c>
      <c r="C3" s="76" t="s">
        <v>13</v>
      </c>
      <c r="D3" s="76"/>
      <c r="E3" s="76" t="s">
        <v>13</v>
      </c>
      <c r="F3" s="76" t="s">
        <v>13</v>
      </c>
      <c r="G3" s="76" t="s">
        <v>13</v>
      </c>
      <c r="H3" s="84"/>
      <c r="I3" s="84"/>
    </row>
    <row r="4" spans="1:9">
      <c r="A4" s="18"/>
      <c r="B4" s="46">
        <v>2019</v>
      </c>
      <c r="C4" s="46">
        <v>2020</v>
      </c>
      <c r="D4" s="46">
        <v>2020</v>
      </c>
      <c r="E4" s="39">
        <v>2020</v>
      </c>
      <c r="F4" s="39">
        <v>2020</v>
      </c>
      <c r="G4" s="47" t="s">
        <v>958</v>
      </c>
      <c r="H4" s="84"/>
      <c r="I4" s="84"/>
    </row>
    <row r="5" spans="1:9">
      <c r="A5" s="48" t="s">
        <v>749</v>
      </c>
      <c r="B5" s="49" t="s">
        <v>716</v>
      </c>
      <c r="C5" s="49" t="s">
        <v>747</v>
      </c>
      <c r="D5" s="49" t="s">
        <v>748</v>
      </c>
      <c r="E5" s="49" t="s">
        <v>1048</v>
      </c>
      <c r="F5" s="49" t="s">
        <v>789</v>
      </c>
      <c r="G5" s="50" t="s">
        <v>718</v>
      </c>
      <c r="H5" s="84"/>
      <c r="I5" s="84"/>
    </row>
    <row r="6" spans="1:9">
      <c r="B6" s="76"/>
      <c r="C6" s="76"/>
      <c r="D6" s="76"/>
      <c r="E6" s="76"/>
      <c r="F6" s="76"/>
      <c r="G6" s="76"/>
      <c r="H6" s="84"/>
      <c r="I6" s="84"/>
    </row>
    <row r="7" spans="1:9">
      <c r="A7" s="18" t="s">
        <v>944</v>
      </c>
      <c r="B7" s="76"/>
      <c r="C7" s="76"/>
      <c r="D7" s="76"/>
      <c r="E7" s="76"/>
      <c r="F7" s="76"/>
      <c r="G7" s="76"/>
      <c r="H7" s="21"/>
      <c r="I7" s="21"/>
    </row>
    <row r="8" spans="1:9">
      <c r="A8" s="70" t="s">
        <v>945</v>
      </c>
      <c r="B8" s="77">
        <v>39738.480000000003</v>
      </c>
      <c r="C8" s="77">
        <f>'Worksheet - Cons Trust (080)'!E10</f>
        <v>38000</v>
      </c>
      <c r="D8" s="77">
        <f>'Worksheet - Cons Trust (080)'!F10</f>
        <v>0</v>
      </c>
      <c r="E8" s="77">
        <f>'Worksheet - Cons Trust (080)'!G10</f>
        <v>29273.57</v>
      </c>
      <c r="F8" s="77">
        <f>'Worksheet - Cons Trust (080)'!H10</f>
        <v>31934.803636363635</v>
      </c>
      <c r="G8" s="77">
        <f>'Worksheet - Cons Trust (080)'!I10</f>
        <v>38000</v>
      </c>
      <c r="H8" s="21"/>
    </row>
    <row r="9" spans="1:9">
      <c r="A9" s="70" t="s">
        <v>946</v>
      </c>
      <c r="B9" s="77">
        <v>33.549999999999997</v>
      </c>
      <c r="C9" s="77">
        <f>'Worksheet - Cons Trust (080)'!E14</f>
        <v>30</v>
      </c>
      <c r="D9" s="77">
        <f>'Worksheet - Cons Trust (080)'!F14</f>
        <v>0</v>
      </c>
      <c r="E9" s="77">
        <f>'Worksheet - Cons Trust (080)'!G14</f>
        <v>21.32</v>
      </c>
      <c r="F9" s="77">
        <f>'Worksheet - Cons Trust (080)'!H14</f>
        <v>23.258181818181818</v>
      </c>
      <c r="G9" s="77">
        <f>'Worksheet - Cons Trust (080)'!I14</f>
        <v>25</v>
      </c>
      <c r="H9" s="21"/>
    </row>
    <row r="10" spans="1:9" ht="15.75" thickBot="1">
      <c r="A10" s="18" t="s">
        <v>460</v>
      </c>
      <c r="B10" s="78">
        <f>SUM(B8:B9)</f>
        <v>39772.030000000006</v>
      </c>
      <c r="C10" s="78">
        <f t="shared" ref="C10:G10" si="0">SUM(C8:C9)</f>
        <v>38030</v>
      </c>
      <c r="D10" s="78">
        <f t="shared" si="0"/>
        <v>0</v>
      </c>
      <c r="E10" s="78">
        <f t="shared" si="0"/>
        <v>29294.89</v>
      </c>
      <c r="F10" s="78">
        <f t="shared" si="0"/>
        <v>31958.061818181817</v>
      </c>
      <c r="G10" s="78">
        <f t="shared" si="0"/>
        <v>38025</v>
      </c>
      <c r="H10" s="21"/>
    </row>
    <row r="11" spans="1:9" ht="15.75" thickTop="1">
      <c r="A11" s="21"/>
      <c r="B11" s="77"/>
      <c r="C11" s="77"/>
      <c r="D11" s="77"/>
      <c r="E11" s="77"/>
      <c r="F11" s="77"/>
      <c r="G11" s="77"/>
      <c r="H11" s="21"/>
    </row>
    <row r="12" spans="1:9">
      <c r="A12" s="21"/>
      <c r="B12" s="79" t="s">
        <v>13</v>
      </c>
      <c r="C12" s="79" t="s">
        <v>13</v>
      </c>
      <c r="D12" s="79"/>
      <c r="E12" s="79" t="s">
        <v>13</v>
      </c>
      <c r="F12" s="79" t="s">
        <v>13</v>
      </c>
      <c r="G12" s="79" t="s">
        <v>13</v>
      </c>
      <c r="H12" s="44"/>
      <c r="I12" s="21"/>
    </row>
    <row r="13" spans="1:9">
      <c r="A13" s="18" t="s">
        <v>782</v>
      </c>
      <c r="B13" s="79"/>
      <c r="C13" s="79"/>
      <c r="D13" s="79"/>
      <c r="E13" s="79"/>
      <c r="F13" s="79"/>
      <c r="G13" s="79"/>
      <c r="H13" s="44"/>
      <c r="I13" s="21"/>
    </row>
    <row r="14" spans="1:9">
      <c r="A14" s="70" t="s">
        <v>204</v>
      </c>
      <c r="B14" s="80"/>
      <c r="C14" s="77">
        <f>'Worksheet - Cons Trust (080)'!E24</f>
        <v>0</v>
      </c>
      <c r="D14" s="77">
        <f>'Worksheet - Cons Trust (080)'!F24</f>
        <v>0</v>
      </c>
      <c r="E14" s="77">
        <f>'Worksheet - Cons Trust (080)'!G24</f>
        <v>0</v>
      </c>
      <c r="F14" s="77">
        <f>'Worksheet - Cons Trust (080)'!H24</f>
        <v>0</v>
      </c>
      <c r="G14" s="77">
        <f>'Worksheet - Cons Trust (080)'!I24</f>
        <v>10000</v>
      </c>
    </row>
    <row r="15" spans="1:9">
      <c r="A15" s="70" t="s">
        <v>223</v>
      </c>
      <c r="B15" s="80">
        <v>61808</v>
      </c>
      <c r="C15" s="77">
        <f>'Worksheet - Cons Trust (080)'!E32</f>
        <v>30000</v>
      </c>
      <c r="D15" s="77">
        <f>'Worksheet - Cons Trust (080)'!F32</f>
        <v>0</v>
      </c>
      <c r="E15" s="77">
        <f>'Worksheet - Cons Trust (080)'!G32</f>
        <v>70188.94</v>
      </c>
      <c r="F15" s="77">
        <f>'Worksheet - Cons Trust (080)'!H32</f>
        <v>70188.94</v>
      </c>
      <c r="G15" s="77">
        <f>'Worksheet - Cons Trust (080)'!I32</f>
        <v>58000</v>
      </c>
    </row>
    <row r="16" spans="1:9">
      <c r="A16" s="70" t="s">
        <v>1114</v>
      </c>
      <c r="B16" s="80">
        <v>4340</v>
      </c>
      <c r="C16" s="77">
        <f>'Worksheet - Cons Trust (080)'!E36</f>
        <v>2000</v>
      </c>
      <c r="D16" s="77">
        <f>'Worksheet - Cons Trust (080)'!F36</f>
        <v>0</v>
      </c>
      <c r="E16" s="77">
        <f>'Worksheet - Cons Trust (080)'!G36</f>
        <v>0</v>
      </c>
      <c r="F16" s="77">
        <f>'Worksheet - Cons Trust (080)'!H36</f>
        <v>0</v>
      </c>
      <c r="G16" s="77">
        <f>'Worksheet - Cons Trust (080)'!I36</f>
        <v>0</v>
      </c>
    </row>
    <row r="17" spans="1:9">
      <c r="A17" s="70" t="s">
        <v>32</v>
      </c>
      <c r="B17" s="80">
        <v>0</v>
      </c>
      <c r="C17" s="77">
        <f>'Worksheet - Cons Trust (080)'!E40</f>
        <v>30000</v>
      </c>
      <c r="D17" s="77">
        <f>'Worksheet - Cons Trust (080)'!F40</f>
        <v>0</v>
      </c>
      <c r="E17" s="77">
        <f>'Worksheet - Cons Trust (080)'!G40</f>
        <v>31302.07</v>
      </c>
      <c r="F17" s="77">
        <f>'Worksheet - Cons Trust (080)'!H40</f>
        <v>31302.07</v>
      </c>
      <c r="G17" s="77">
        <f>'Worksheet - Cons Trust (080)'!I40</f>
        <v>0</v>
      </c>
    </row>
    <row r="18" spans="1:9" ht="15.75" thickBot="1">
      <c r="A18" s="18" t="s">
        <v>5</v>
      </c>
      <c r="B18" s="78">
        <f>SUM(B14:B17)</f>
        <v>66148</v>
      </c>
      <c r="C18" s="78">
        <f t="shared" ref="C18:G18" si="1">SUM(C14:C17)</f>
        <v>62000</v>
      </c>
      <c r="D18" s="78">
        <f t="shared" si="1"/>
        <v>0</v>
      </c>
      <c r="E18" s="78">
        <f t="shared" si="1"/>
        <v>101491.01000000001</v>
      </c>
      <c r="F18" s="78">
        <f t="shared" si="1"/>
        <v>101491.01000000001</v>
      </c>
      <c r="G18" s="78">
        <f t="shared" si="1"/>
        <v>68000</v>
      </c>
    </row>
    <row r="19" spans="1:9" ht="15.75" thickTop="1">
      <c r="A19" s="21"/>
      <c r="B19" s="81"/>
      <c r="C19" s="81"/>
      <c r="D19" s="81"/>
      <c r="E19" s="81"/>
      <c r="F19" s="81"/>
      <c r="G19" s="81"/>
      <c r="H19" s="21"/>
    </row>
    <row r="20" spans="1:9" ht="27" thickBot="1">
      <c r="A20" s="68" t="s">
        <v>752</v>
      </c>
      <c r="B20" s="73">
        <f>B10-B18</f>
        <v>-26375.969999999994</v>
      </c>
      <c r="C20" s="73">
        <f>C10-C18</f>
        <v>-23970</v>
      </c>
      <c r="D20" s="73">
        <f t="shared" ref="D20:G20" si="2">D10-D18</f>
        <v>0</v>
      </c>
      <c r="E20" s="73">
        <f t="shared" si="2"/>
        <v>-72196.12000000001</v>
      </c>
      <c r="F20" s="73">
        <f t="shared" si="2"/>
        <v>-69532.948181818196</v>
      </c>
      <c r="G20" s="73">
        <f t="shared" si="2"/>
        <v>-29975</v>
      </c>
      <c r="H20" s="21"/>
    </row>
    <row r="21" spans="1:9" ht="15.75" thickTop="1">
      <c r="A21" s="21"/>
      <c r="B21" s="58"/>
      <c r="C21" s="58"/>
      <c r="D21" s="58"/>
      <c r="E21" s="58"/>
      <c r="F21" s="58"/>
      <c r="G21" s="58"/>
      <c r="H21" s="21"/>
    </row>
    <row r="22" spans="1:9">
      <c r="A22" s="18" t="s">
        <v>753</v>
      </c>
      <c r="B22" s="58"/>
      <c r="C22" s="58"/>
      <c r="D22" s="58"/>
      <c r="E22" s="58"/>
      <c r="F22" s="58"/>
      <c r="G22" s="58"/>
      <c r="H22" s="21"/>
    </row>
    <row r="23" spans="1:9">
      <c r="A23" s="70" t="s">
        <v>9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21"/>
    </row>
    <row r="24" spans="1:9">
      <c r="A24" s="70" t="s">
        <v>10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21"/>
    </row>
    <row r="25" spans="1:9" ht="15.75" thickBot="1">
      <c r="A25" s="18" t="s">
        <v>754</v>
      </c>
      <c r="B25" s="133">
        <f>SUM(B23:B24)</f>
        <v>0</v>
      </c>
      <c r="C25" s="133">
        <f t="shared" ref="C25:G25" si="3">SUM(C23:C24)</f>
        <v>0</v>
      </c>
      <c r="D25" s="133">
        <f t="shared" si="3"/>
        <v>0</v>
      </c>
      <c r="E25" s="133">
        <f t="shared" si="3"/>
        <v>0</v>
      </c>
      <c r="F25" s="133">
        <f t="shared" si="3"/>
        <v>0</v>
      </c>
      <c r="G25" s="133">
        <f t="shared" si="3"/>
        <v>0</v>
      </c>
      <c r="H25" s="21"/>
    </row>
    <row r="26" spans="1:9" ht="15.75" thickTop="1">
      <c r="A26" s="21"/>
      <c r="B26" s="58"/>
      <c r="C26" s="58"/>
      <c r="D26" s="58"/>
      <c r="E26" s="58"/>
      <c r="F26" s="58"/>
      <c r="G26" s="58"/>
      <c r="H26" s="21"/>
    </row>
    <row r="27" spans="1:9" ht="39.75" thickBot="1">
      <c r="A27" s="68" t="s">
        <v>756</v>
      </c>
      <c r="B27" s="87">
        <f>B20+B25</f>
        <v>-26375.969999999994</v>
      </c>
      <c r="C27" s="87">
        <f t="shared" ref="C27:G27" si="4">C20+C25</f>
        <v>-23970</v>
      </c>
      <c r="D27" s="87">
        <f t="shared" si="4"/>
        <v>0</v>
      </c>
      <c r="E27" s="87">
        <f t="shared" si="4"/>
        <v>-72196.12000000001</v>
      </c>
      <c r="F27" s="87">
        <f t="shared" si="4"/>
        <v>-69532.948181818196</v>
      </c>
      <c r="G27" s="87">
        <f t="shared" si="4"/>
        <v>-29975</v>
      </c>
      <c r="H27" s="21"/>
    </row>
    <row r="28" spans="1:9" ht="15.75" thickTop="1">
      <c r="A28" s="21"/>
      <c r="B28" s="58"/>
      <c r="C28" s="58"/>
      <c r="D28" s="58"/>
      <c r="E28" s="58"/>
      <c r="F28" s="58"/>
      <c r="G28" s="58"/>
      <c r="H28" s="44"/>
      <c r="I28" s="21"/>
    </row>
    <row r="29" spans="1:9">
      <c r="A29" s="70" t="s">
        <v>14</v>
      </c>
      <c r="B29" s="80">
        <v>132721.95000000001</v>
      </c>
      <c r="C29" s="80">
        <v>106345.78</v>
      </c>
      <c r="D29" s="80"/>
      <c r="E29" s="80">
        <v>106345.78</v>
      </c>
      <c r="F29" s="80">
        <v>106345.78</v>
      </c>
      <c r="G29" s="80">
        <f>F30</f>
        <v>36812.831818181803</v>
      </c>
      <c r="I29" s="21"/>
    </row>
    <row r="30" spans="1:9" ht="15.75" thickBot="1">
      <c r="A30" s="18" t="s">
        <v>758</v>
      </c>
      <c r="B30" s="78">
        <f>B29+B27</f>
        <v>106345.98000000001</v>
      </c>
      <c r="C30" s="78">
        <f>C29+C27</f>
        <v>82375.78</v>
      </c>
      <c r="D30" s="78"/>
      <c r="E30" s="78">
        <f t="shared" ref="E30:G30" si="5">E29+E27</f>
        <v>34149.659999999989</v>
      </c>
      <c r="F30" s="78">
        <f t="shared" si="5"/>
        <v>36812.831818181803</v>
      </c>
      <c r="G30" s="78">
        <f t="shared" si="5"/>
        <v>6837.8318181818031</v>
      </c>
      <c r="H30" s="44"/>
      <c r="I30" s="21"/>
    </row>
    <row r="31" spans="1:9" ht="15.75" thickTop="1">
      <c r="A31" s="21"/>
      <c r="B31" s="58"/>
      <c r="C31" s="58"/>
      <c r="D31" s="58"/>
      <c r="E31" s="58"/>
      <c r="F31" s="58"/>
      <c r="G31" s="58"/>
      <c r="H31" s="44"/>
      <c r="I31" s="21"/>
    </row>
    <row r="32" spans="1:9">
      <c r="A32" s="18" t="s">
        <v>759</v>
      </c>
      <c r="B32" s="58"/>
      <c r="C32" s="58"/>
      <c r="D32" s="58"/>
      <c r="E32" s="58"/>
      <c r="F32" s="58"/>
      <c r="G32" s="58"/>
      <c r="H32" s="44"/>
      <c r="I32" s="21"/>
    </row>
    <row r="33" spans="1:9">
      <c r="A33" s="18"/>
      <c r="B33" s="58"/>
      <c r="C33" s="58"/>
      <c r="D33" s="58"/>
      <c r="E33" s="58"/>
      <c r="F33" s="58"/>
      <c r="G33" s="58"/>
      <c r="H33" s="44"/>
      <c r="I33" s="21"/>
    </row>
    <row r="34" spans="1:9">
      <c r="A34" s="18" t="s">
        <v>760</v>
      </c>
      <c r="B34" s="77" t="s">
        <v>13</v>
      </c>
      <c r="C34" s="77" t="s">
        <v>13</v>
      </c>
      <c r="D34" s="77"/>
      <c r="E34" s="77" t="s">
        <v>13</v>
      </c>
      <c r="F34" s="77" t="s">
        <v>13</v>
      </c>
      <c r="G34" s="77" t="s">
        <v>13</v>
      </c>
      <c r="H34" s="44"/>
      <c r="I34" s="21"/>
    </row>
    <row r="35" spans="1:9">
      <c r="A35" s="70" t="s">
        <v>16</v>
      </c>
      <c r="B35" s="77">
        <v>0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44"/>
      <c r="I35" s="21"/>
    </row>
    <row r="36" spans="1:9">
      <c r="A36" s="70" t="s">
        <v>17</v>
      </c>
      <c r="B36" s="77">
        <v>0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44"/>
      <c r="I36" s="21"/>
    </row>
    <row r="37" spans="1:9" ht="15.75" thickBot="1">
      <c r="A37" s="18" t="s">
        <v>761</v>
      </c>
      <c r="B37" s="133">
        <f t="shared" ref="B37:G37" si="6">SUM(B34:B36)</f>
        <v>0</v>
      </c>
      <c r="C37" s="133">
        <f t="shared" si="6"/>
        <v>0</v>
      </c>
      <c r="D37" s="133">
        <f t="shared" si="6"/>
        <v>0</v>
      </c>
      <c r="E37" s="133">
        <f t="shared" si="6"/>
        <v>0</v>
      </c>
      <c r="F37" s="133">
        <f t="shared" si="6"/>
        <v>0</v>
      </c>
      <c r="G37" s="133">
        <f t="shared" si="6"/>
        <v>0</v>
      </c>
      <c r="H37" s="44"/>
      <c r="I37" s="21"/>
    </row>
    <row r="38" spans="1:9" ht="15.75" thickTop="1">
      <c r="A38" s="18"/>
      <c r="B38" s="90"/>
      <c r="C38" s="90"/>
      <c r="D38" s="90"/>
      <c r="E38" s="90"/>
      <c r="F38" s="90"/>
      <c r="G38" s="90"/>
      <c r="H38" s="44"/>
      <c r="I38" s="21"/>
    </row>
    <row r="39" spans="1:9" ht="15.75" thickBot="1">
      <c r="A39" s="18" t="s">
        <v>762</v>
      </c>
      <c r="B39" s="78">
        <f>B30-B37</f>
        <v>106345.98000000001</v>
      </c>
      <c r="C39" s="78">
        <f t="shared" ref="C39:G39" si="7">C30-C37</f>
        <v>82375.78</v>
      </c>
      <c r="D39" s="78">
        <f t="shared" si="7"/>
        <v>0</v>
      </c>
      <c r="E39" s="78">
        <f t="shared" si="7"/>
        <v>34149.659999999989</v>
      </c>
      <c r="F39" s="78">
        <f t="shared" si="7"/>
        <v>36812.831818181803</v>
      </c>
      <c r="G39" s="78">
        <f t="shared" si="7"/>
        <v>6837.8318181818031</v>
      </c>
      <c r="H39" s="21"/>
    </row>
    <row r="40" spans="1:9" ht="15.75" thickTop="1">
      <c r="A40" s="21"/>
      <c r="B40" s="21"/>
      <c r="C40" s="21"/>
      <c r="D40" s="21"/>
      <c r="E40" s="21"/>
      <c r="F40" s="21"/>
      <c r="G40" s="21"/>
      <c r="H40" s="21"/>
      <c r="I40" s="21"/>
    </row>
    <row r="41" spans="1:9">
      <c r="A41" s="21"/>
      <c r="B41" s="81"/>
      <c r="C41" s="81"/>
      <c r="D41" s="81"/>
      <c r="E41" s="81"/>
      <c r="F41" s="81"/>
      <c r="G41" s="81"/>
      <c r="H41" s="21"/>
      <c r="I41" s="21"/>
    </row>
    <row r="42" spans="1:9">
      <c r="A42" s="21" t="s">
        <v>13</v>
      </c>
      <c r="B42" s="81"/>
      <c r="C42" s="81"/>
      <c r="D42" s="81"/>
      <c r="E42" s="81"/>
      <c r="F42" s="81"/>
      <c r="G42" s="81"/>
      <c r="H42" s="21"/>
      <c r="I42" s="21"/>
    </row>
    <row r="43" spans="1:9">
      <c r="A43" s="21"/>
      <c r="B43" s="81"/>
      <c r="C43" s="81"/>
      <c r="D43" s="81"/>
      <c r="E43" s="81"/>
      <c r="F43" s="81"/>
      <c r="G43" s="81"/>
      <c r="H43" s="21"/>
      <c r="I43" s="21"/>
    </row>
    <row r="44" spans="1:9">
      <c r="A44" s="21"/>
      <c r="B44" s="81"/>
      <c r="C44" s="81"/>
      <c r="D44" s="81"/>
      <c r="E44" s="81"/>
      <c r="F44" s="81"/>
      <c r="G44" s="81"/>
      <c r="H44" s="21"/>
      <c r="I44" s="21"/>
    </row>
    <row r="45" spans="1:9">
      <c r="A45" s="21"/>
      <c r="B45" s="81"/>
      <c r="C45" s="81"/>
      <c r="D45" s="81"/>
      <c r="E45" s="81"/>
      <c r="F45" s="81"/>
      <c r="G45" s="81"/>
      <c r="H45" s="21"/>
      <c r="I45" s="21"/>
    </row>
    <row r="46" spans="1:9">
      <c r="A46" s="21"/>
      <c r="B46" s="81"/>
      <c r="C46" s="81"/>
      <c r="D46" s="81"/>
      <c r="E46" s="81"/>
      <c r="F46" s="81"/>
      <c r="G46" s="81"/>
      <c r="H46" s="21"/>
      <c r="I46" s="21"/>
    </row>
  </sheetData>
  <mergeCells count="2">
    <mergeCell ref="A1:G1"/>
    <mergeCell ref="A2:G2"/>
  </mergeCells>
  <pageMargins left="0.7" right="0.7" top="0.75" bottom="0.75" header="0.3" footer="0.3"/>
  <pageSetup scale="69" fitToHeight="0" orientation="portrait" r:id="rId1"/>
  <headerFooter>
    <oddFooter>&amp;CConservation Trust Fund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44"/>
  <sheetViews>
    <sheetView topLeftCell="A16" workbookViewId="0">
      <selection activeCell="G31" sqref="G31"/>
    </sheetView>
  </sheetViews>
  <sheetFormatPr defaultRowHeight="15"/>
  <cols>
    <col min="1" max="1" width="10.7109375" customWidth="1"/>
    <col min="2" max="2" width="5.7109375" customWidth="1"/>
    <col min="3" max="3" width="39.140625" customWidth="1"/>
    <col min="4" max="4" width="5.7109375" customWidth="1"/>
    <col min="6" max="6" width="17.42578125" style="9" bestFit="1" customWidth="1"/>
    <col min="7" max="9" width="12.7109375" style="9" customWidth="1"/>
    <col min="10" max="10" width="41.5703125" style="9" bestFit="1" customWidth="1"/>
    <col min="11" max="11" width="12.7109375" style="9" customWidth="1"/>
    <col min="12" max="12" width="30.5703125" customWidth="1"/>
  </cols>
  <sheetData>
    <row r="1" spans="1:13">
      <c r="A1" s="202" t="s">
        <v>936</v>
      </c>
      <c r="B1" s="202"/>
      <c r="C1" s="202"/>
      <c r="D1" s="202"/>
      <c r="E1" s="202"/>
      <c r="F1" s="23"/>
      <c r="G1" s="21"/>
      <c r="H1" s="21"/>
      <c r="I1" s="21"/>
      <c r="J1" s="21"/>
      <c r="K1" s="84"/>
      <c r="L1" s="84"/>
      <c r="M1" s="84"/>
    </row>
    <row r="2" spans="1:13">
      <c r="A2" s="43"/>
      <c r="B2" s="43"/>
      <c r="C2" s="43"/>
      <c r="D2" s="43"/>
      <c r="E2" s="23"/>
      <c r="F2" s="21"/>
      <c r="G2" s="21"/>
      <c r="H2" s="21"/>
      <c r="I2" s="21"/>
      <c r="J2" s="84"/>
      <c r="K2" s="84"/>
      <c r="L2" s="84"/>
    </row>
    <row r="3" spans="1:13">
      <c r="A3" s="21"/>
      <c r="B3" s="21"/>
      <c r="C3" s="84"/>
      <c r="D3" s="84"/>
      <c r="E3" s="46">
        <v>2020</v>
      </c>
      <c r="F3" s="46">
        <v>2020</v>
      </c>
      <c r="G3" s="39">
        <v>2020</v>
      </c>
      <c r="H3" s="39">
        <v>2020</v>
      </c>
      <c r="I3" s="47" t="s">
        <v>958</v>
      </c>
      <c r="J3" s="48" t="s">
        <v>772</v>
      </c>
      <c r="K3" s="84"/>
      <c r="L3" s="84"/>
    </row>
    <row r="4" spans="1:13">
      <c r="A4" s="21"/>
      <c r="B4" s="21"/>
      <c r="C4" s="84"/>
      <c r="D4" s="84"/>
      <c r="E4" s="49" t="s">
        <v>747</v>
      </c>
      <c r="F4" s="49" t="s">
        <v>748</v>
      </c>
      <c r="G4" s="49" t="s">
        <v>1048</v>
      </c>
      <c r="H4" s="49" t="s">
        <v>789</v>
      </c>
      <c r="I4" s="50" t="s">
        <v>718</v>
      </c>
      <c r="J4" s="18"/>
      <c r="K4" s="84"/>
      <c r="L4" s="84"/>
    </row>
    <row r="5" spans="1:13">
      <c r="A5" s="19"/>
      <c r="B5" s="20"/>
      <c r="C5" s="84"/>
      <c r="D5" s="21"/>
      <c r="E5" s="21"/>
      <c r="F5" s="21"/>
      <c r="G5" s="21"/>
      <c r="H5" s="21"/>
      <c r="I5" s="21"/>
      <c r="J5" s="84"/>
      <c r="K5" s="84"/>
      <c r="L5" s="84"/>
    </row>
    <row r="6" spans="1:13">
      <c r="A6" s="18" t="s">
        <v>937</v>
      </c>
      <c r="B6" s="84"/>
      <c r="C6" s="84"/>
      <c r="D6" s="84"/>
      <c r="E6" s="129"/>
      <c r="F6" s="129"/>
      <c r="G6" s="129"/>
      <c r="H6" s="129"/>
      <c r="I6" s="129"/>
      <c r="J6" s="129"/>
      <c r="K6"/>
    </row>
    <row r="7" spans="1:13">
      <c r="A7" s="18"/>
      <c r="B7" s="84"/>
      <c r="C7" s="84"/>
      <c r="D7" s="84"/>
      <c r="E7" s="129"/>
      <c r="F7" s="129"/>
      <c r="G7" s="129"/>
      <c r="H7" s="129"/>
      <c r="I7" s="129"/>
      <c r="J7" s="129"/>
      <c r="K7"/>
    </row>
    <row r="8" spans="1:13">
      <c r="A8" s="18"/>
      <c r="B8" s="84"/>
      <c r="C8" s="18" t="s">
        <v>938</v>
      </c>
      <c r="D8" s="84"/>
      <c r="E8" s="129"/>
      <c r="F8" s="129"/>
      <c r="G8" s="129"/>
      <c r="H8" s="129"/>
      <c r="I8" s="129"/>
      <c r="J8" s="129"/>
      <c r="K8"/>
    </row>
    <row r="9" spans="1:13">
      <c r="A9" s="21" t="s">
        <v>597</v>
      </c>
      <c r="B9" s="21"/>
      <c r="C9" s="70" t="s">
        <v>33</v>
      </c>
      <c r="D9" s="21"/>
      <c r="E9" s="22">
        <v>38000</v>
      </c>
      <c r="F9" s="22">
        <v>0</v>
      </c>
      <c r="G9" s="22">
        <v>29273.57</v>
      </c>
      <c r="H9" s="22">
        <f>(G9/11)*12</f>
        <v>31934.803636363635</v>
      </c>
      <c r="I9" s="22">
        <v>38000</v>
      </c>
      <c r="J9" s="22"/>
      <c r="K9"/>
    </row>
    <row r="10" spans="1:13" s="3" customFormat="1" ht="15.75" thickBot="1">
      <c r="A10" s="18"/>
      <c r="B10" s="18"/>
      <c r="C10" s="18" t="s">
        <v>939</v>
      </c>
      <c r="D10" s="18"/>
      <c r="E10" s="74">
        <f>SUM(E9)</f>
        <v>38000</v>
      </c>
      <c r="F10" s="74">
        <f>SUM(F9)</f>
        <v>0</v>
      </c>
      <c r="G10" s="74">
        <f t="shared" ref="G10:I10" si="0">SUM(G9)</f>
        <v>29273.57</v>
      </c>
      <c r="H10" s="74">
        <f>SUM(H9)</f>
        <v>31934.803636363635</v>
      </c>
      <c r="I10" s="74">
        <f t="shared" si="0"/>
        <v>38000</v>
      </c>
      <c r="J10" s="83"/>
    </row>
    <row r="11" spans="1:13" ht="15.75" thickTop="1">
      <c r="A11" s="21"/>
      <c r="B11" s="21"/>
      <c r="C11" s="21"/>
      <c r="D11" s="21"/>
      <c r="E11" s="23"/>
      <c r="F11" s="23"/>
      <c r="G11" s="23"/>
      <c r="H11" s="23"/>
      <c r="I11" s="23"/>
      <c r="J11" s="23"/>
      <c r="K11"/>
    </row>
    <row r="12" spans="1:13">
      <c r="A12" s="21"/>
      <c r="B12" s="21"/>
      <c r="C12" s="18" t="s">
        <v>596</v>
      </c>
      <c r="D12" s="21"/>
      <c r="E12" s="23"/>
      <c r="F12" s="23"/>
      <c r="G12" s="23"/>
      <c r="H12" s="23"/>
      <c r="I12" s="23"/>
      <c r="J12" s="23"/>
      <c r="K12"/>
    </row>
    <row r="13" spans="1:13">
      <c r="A13" s="21" t="s">
        <v>598</v>
      </c>
      <c r="B13" s="21"/>
      <c r="C13" s="70" t="s">
        <v>596</v>
      </c>
      <c r="D13" s="21"/>
      <c r="E13" s="22">
        <v>30</v>
      </c>
      <c r="F13" s="22">
        <v>0</v>
      </c>
      <c r="G13" s="22">
        <v>21.32</v>
      </c>
      <c r="H13" s="22">
        <f>(G13/11)*12</f>
        <v>23.258181818181818</v>
      </c>
      <c r="I13" s="22">
        <v>25</v>
      </c>
      <c r="J13" s="22"/>
      <c r="K13"/>
    </row>
    <row r="14" spans="1:13" s="3" customFormat="1" ht="15.75" thickBot="1">
      <c r="A14" s="18"/>
      <c r="B14" s="18"/>
      <c r="C14" s="18" t="s">
        <v>177</v>
      </c>
      <c r="D14" s="18"/>
      <c r="E14" s="74">
        <f>SUM(E13)</f>
        <v>30</v>
      </c>
      <c r="F14" s="74">
        <f>SUM(F13)</f>
        <v>0</v>
      </c>
      <c r="G14" s="74">
        <f t="shared" ref="G14:I14" si="1">SUM(G13)</f>
        <v>21.32</v>
      </c>
      <c r="H14" s="74">
        <f>SUM(H13)</f>
        <v>23.258181818181818</v>
      </c>
      <c r="I14" s="74">
        <f t="shared" si="1"/>
        <v>25</v>
      </c>
      <c r="J14" s="83"/>
    </row>
    <row r="15" spans="1:13" ht="15.75" thickTop="1">
      <c r="A15" s="21"/>
      <c r="B15" s="21"/>
      <c r="C15" s="21"/>
      <c r="D15" s="21"/>
      <c r="E15" s="23"/>
      <c r="F15" s="23"/>
      <c r="G15" s="23"/>
      <c r="H15" s="23"/>
      <c r="I15" s="23"/>
      <c r="J15" s="23"/>
      <c r="K15"/>
    </row>
    <row r="16" spans="1:13" s="3" customFormat="1" ht="15.75" thickBot="1">
      <c r="A16" s="18" t="s">
        <v>940</v>
      </c>
      <c r="B16" s="18"/>
      <c r="C16" s="18"/>
      <c r="D16" s="18"/>
      <c r="E16" s="27">
        <f>E10+E14</f>
        <v>38030</v>
      </c>
      <c r="F16" s="27">
        <f>F10+F14</f>
        <v>0</v>
      </c>
      <c r="G16" s="27">
        <f t="shared" ref="G16:I16" si="2">G10+G14</f>
        <v>29294.89</v>
      </c>
      <c r="H16" s="27">
        <f t="shared" si="2"/>
        <v>31958.061818181817</v>
      </c>
      <c r="I16" s="27">
        <f t="shared" si="2"/>
        <v>38025</v>
      </c>
      <c r="J16" s="134"/>
    </row>
    <row r="17" spans="1:11" ht="15.75" thickTop="1">
      <c r="A17" s="21"/>
      <c r="B17" s="21"/>
      <c r="C17" s="21"/>
      <c r="D17" s="21"/>
      <c r="E17" s="23"/>
      <c r="F17" s="23"/>
      <c r="G17" s="23"/>
      <c r="H17" s="23"/>
      <c r="I17" s="23"/>
      <c r="J17" s="23"/>
      <c r="K17"/>
    </row>
    <row r="18" spans="1:11">
      <c r="A18" s="21"/>
      <c r="B18" s="21"/>
      <c r="C18" s="21"/>
      <c r="D18" s="21"/>
      <c r="E18" s="23"/>
      <c r="F18" s="23"/>
      <c r="G18" s="23"/>
      <c r="H18" s="23"/>
      <c r="I18" s="23"/>
      <c r="J18" s="23"/>
      <c r="K18"/>
    </row>
    <row r="19" spans="1:11">
      <c r="A19" s="21"/>
      <c r="B19" s="21"/>
      <c r="C19" s="21"/>
      <c r="D19" s="21"/>
      <c r="E19" s="23"/>
      <c r="F19" s="23"/>
      <c r="G19" s="23"/>
      <c r="H19" s="23"/>
      <c r="I19" s="23"/>
      <c r="J19" s="23"/>
      <c r="K19"/>
    </row>
    <row r="20" spans="1:11">
      <c r="A20" s="18" t="s">
        <v>941</v>
      </c>
      <c r="B20" s="21"/>
      <c r="C20" s="21"/>
      <c r="D20" s="21"/>
      <c r="E20" s="23"/>
      <c r="F20" s="23"/>
      <c r="G20" s="23"/>
      <c r="H20" s="23"/>
      <c r="I20" s="23"/>
      <c r="J20" s="23"/>
      <c r="K20"/>
    </row>
    <row r="21" spans="1:11">
      <c r="A21" s="21"/>
      <c r="B21" s="21"/>
      <c r="C21" s="21"/>
      <c r="D21" s="21"/>
      <c r="E21" s="23"/>
      <c r="F21" s="23"/>
      <c r="G21" s="23"/>
      <c r="H21" s="23"/>
      <c r="I21" s="23"/>
      <c r="J21" s="23"/>
      <c r="K21"/>
    </row>
    <row r="22" spans="1:11">
      <c r="A22" s="21"/>
      <c r="B22" s="21"/>
      <c r="C22" s="18" t="s">
        <v>204</v>
      </c>
      <c r="D22" s="21"/>
      <c r="E22" s="23"/>
      <c r="F22" s="23"/>
      <c r="G22" s="23"/>
      <c r="H22" s="23"/>
      <c r="I22" s="23"/>
      <c r="J22" s="23"/>
      <c r="K22"/>
    </row>
    <row r="23" spans="1:11">
      <c r="A23" s="21" t="s">
        <v>1172</v>
      </c>
      <c r="B23" s="21"/>
      <c r="C23" s="70" t="s">
        <v>1178</v>
      </c>
      <c r="D23" s="21"/>
      <c r="E23" s="22">
        <v>0</v>
      </c>
      <c r="F23" s="22">
        <v>0</v>
      </c>
      <c r="G23" s="22">
        <v>0</v>
      </c>
      <c r="H23" s="22">
        <v>0</v>
      </c>
      <c r="I23" s="22">
        <v>10000</v>
      </c>
      <c r="J23" s="193" t="s">
        <v>1179</v>
      </c>
      <c r="K23"/>
    </row>
    <row r="24" spans="1:11" s="3" customFormat="1" ht="15.75" thickBot="1">
      <c r="A24" s="18"/>
      <c r="B24" s="18"/>
      <c r="C24" s="18" t="s">
        <v>825</v>
      </c>
      <c r="D24" s="18"/>
      <c r="E24" s="74">
        <f>SUM(E23)</f>
        <v>0</v>
      </c>
      <c r="F24" s="74">
        <f t="shared" ref="F24:I24" si="3">SUM(F23)</f>
        <v>0</v>
      </c>
      <c r="G24" s="74">
        <f t="shared" si="3"/>
        <v>0</v>
      </c>
      <c r="H24" s="74">
        <f t="shared" si="3"/>
        <v>0</v>
      </c>
      <c r="I24" s="74">
        <f t="shared" si="3"/>
        <v>10000</v>
      </c>
      <c r="J24" s="83"/>
    </row>
    <row r="25" spans="1:11" ht="15.75" thickTop="1">
      <c r="A25" s="21"/>
      <c r="B25" s="21"/>
      <c r="C25" s="21"/>
      <c r="D25" s="21"/>
      <c r="E25" s="23"/>
      <c r="F25" s="23"/>
      <c r="G25" s="23"/>
      <c r="H25" s="23"/>
      <c r="I25" s="23"/>
      <c r="J25" s="23"/>
      <c r="K25"/>
    </row>
    <row r="26" spans="1:11">
      <c r="A26" s="21"/>
      <c r="B26" s="21"/>
      <c r="C26" s="18" t="s">
        <v>223</v>
      </c>
      <c r="D26" s="21"/>
      <c r="E26" s="23"/>
      <c r="F26" s="23"/>
      <c r="G26" s="23"/>
      <c r="H26" s="23"/>
      <c r="I26" s="23"/>
      <c r="J26" s="23"/>
      <c r="K26"/>
    </row>
    <row r="27" spans="1:11">
      <c r="A27" s="21" t="s">
        <v>1171</v>
      </c>
      <c r="B27" s="21"/>
      <c r="C27" s="70" t="s">
        <v>599</v>
      </c>
      <c r="D27" s="21"/>
      <c r="E27" s="22">
        <v>20000</v>
      </c>
      <c r="F27" s="22">
        <v>0</v>
      </c>
      <c r="G27" s="22">
        <v>34402.480000000003</v>
      </c>
      <c r="H27" s="22">
        <v>34402.480000000003</v>
      </c>
      <c r="I27" s="22">
        <v>20000</v>
      </c>
      <c r="J27" s="193" t="s">
        <v>1046</v>
      </c>
      <c r="K27"/>
    </row>
    <row r="28" spans="1:11">
      <c r="A28" s="21" t="s">
        <v>1174</v>
      </c>
      <c r="B28" s="21"/>
      <c r="C28" s="70" t="s">
        <v>1173</v>
      </c>
      <c r="D28" s="21"/>
      <c r="E28" s="22">
        <v>0</v>
      </c>
      <c r="F28" s="22">
        <v>0</v>
      </c>
      <c r="G28" s="22">
        <v>14874</v>
      </c>
      <c r="H28" s="22">
        <v>14874</v>
      </c>
      <c r="I28" s="22">
        <v>0</v>
      </c>
      <c r="J28" s="22"/>
      <c r="K28"/>
    </row>
    <row r="29" spans="1:11">
      <c r="A29" s="21" t="s">
        <v>1175</v>
      </c>
      <c r="B29" s="21"/>
      <c r="C29" s="70" t="s">
        <v>601</v>
      </c>
      <c r="D29" s="21"/>
      <c r="E29" s="22">
        <v>10000</v>
      </c>
      <c r="F29" s="22">
        <v>0</v>
      </c>
      <c r="G29" s="22">
        <v>20912.46</v>
      </c>
      <c r="H29" s="22">
        <v>20912.46</v>
      </c>
      <c r="I29" s="22">
        <v>18000</v>
      </c>
      <c r="J29" s="193" t="s">
        <v>1180</v>
      </c>
      <c r="K29"/>
    </row>
    <row r="30" spans="1:11">
      <c r="A30" s="21" t="s">
        <v>1176</v>
      </c>
      <c r="B30" s="21"/>
      <c r="C30" s="70" t="s">
        <v>602</v>
      </c>
      <c r="D30" s="21"/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193"/>
      <c r="K30"/>
    </row>
    <row r="31" spans="1:11">
      <c r="A31" s="21" t="s">
        <v>1177</v>
      </c>
      <c r="B31" s="21"/>
      <c r="C31" s="70" t="s">
        <v>603</v>
      </c>
      <c r="D31" s="21"/>
      <c r="E31" s="22">
        <v>0</v>
      </c>
      <c r="F31" s="22">
        <v>0</v>
      </c>
      <c r="G31" s="22">
        <v>0</v>
      </c>
      <c r="H31" s="22">
        <v>0</v>
      </c>
      <c r="I31" s="22">
        <v>20000</v>
      </c>
      <c r="J31" s="193" t="s">
        <v>1047</v>
      </c>
      <c r="K31"/>
    </row>
    <row r="32" spans="1:11" s="3" customFormat="1" ht="15.75" thickBot="1">
      <c r="A32" s="18"/>
      <c r="B32" s="18"/>
      <c r="C32" s="18" t="s">
        <v>822</v>
      </c>
      <c r="D32" s="18"/>
      <c r="E32" s="74">
        <f>SUM(E27:E31)</f>
        <v>30000</v>
      </c>
      <c r="F32" s="74">
        <f t="shared" ref="F32:I32" si="4">SUM(F27:F31)</f>
        <v>0</v>
      </c>
      <c r="G32" s="74">
        <f t="shared" si="4"/>
        <v>70188.94</v>
      </c>
      <c r="H32" s="74">
        <f t="shared" si="4"/>
        <v>70188.94</v>
      </c>
      <c r="I32" s="74">
        <f t="shared" si="4"/>
        <v>58000</v>
      </c>
      <c r="J32" s="83"/>
    </row>
    <row r="33" spans="1:11" ht="15.75" thickTop="1">
      <c r="A33" s="21"/>
      <c r="B33" s="21"/>
      <c r="C33" s="21"/>
      <c r="D33" s="21"/>
      <c r="E33" s="23"/>
      <c r="F33" s="23"/>
      <c r="G33" s="23"/>
      <c r="H33" s="23"/>
      <c r="I33" s="23"/>
      <c r="J33" s="23"/>
      <c r="K33"/>
    </row>
    <row r="34" spans="1:11">
      <c r="A34" s="21"/>
      <c r="B34" s="21"/>
      <c r="C34" s="18" t="s">
        <v>1114</v>
      </c>
      <c r="D34" s="21"/>
      <c r="E34" s="23"/>
      <c r="F34" s="23"/>
      <c r="G34" s="23"/>
      <c r="H34" s="23"/>
      <c r="I34" s="23"/>
      <c r="J34" s="23"/>
      <c r="K34"/>
    </row>
    <row r="35" spans="1:11">
      <c r="A35" s="21" t="s">
        <v>1172</v>
      </c>
      <c r="B35" s="21"/>
      <c r="C35" s="70" t="s">
        <v>600</v>
      </c>
      <c r="D35" s="21"/>
      <c r="E35" s="22">
        <v>2000</v>
      </c>
      <c r="F35" s="22">
        <v>0</v>
      </c>
      <c r="G35" s="22">
        <v>0</v>
      </c>
      <c r="H35" s="22">
        <v>0</v>
      </c>
      <c r="I35" s="22">
        <v>0</v>
      </c>
      <c r="J35" s="22"/>
      <c r="K35"/>
    </row>
    <row r="36" spans="1:11" s="3" customFormat="1" ht="15.75" thickBot="1">
      <c r="A36" s="18"/>
      <c r="B36" s="18"/>
      <c r="C36" s="18" t="s">
        <v>1158</v>
      </c>
      <c r="D36" s="18"/>
      <c r="E36" s="74">
        <f>SUM(E35)</f>
        <v>2000</v>
      </c>
      <c r="F36" s="74">
        <f t="shared" ref="F36:I36" si="5">SUM(F35)</f>
        <v>0</v>
      </c>
      <c r="G36" s="74">
        <f t="shared" si="5"/>
        <v>0</v>
      </c>
      <c r="H36" s="74">
        <f t="shared" si="5"/>
        <v>0</v>
      </c>
      <c r="I36" s="74">
        <f t="shared" si="5"/>
        <v>0</v>
      </c>
      <c r="J36" s="83"/>
    </row>
    <row r="37" spans="1:11" ht="15.75" thickTop="1">
      <c r="A37" s="21"/>
      <c r="B37" s="21"/>
      <c r="C37" s="21"/>
      <c r="D37" s="21"/>
      <c r="E37" s="23"/>
      <c r="F37" s="23"/>
      <c r="G37" s="23"/>
      <c r="H37" s="23"/>
      <c r="I37" s="23"/>
      <c r="J37" s="23"/>
      <c r="K37"/>
    </row>
    <row r="38" spans="1:11">
      <c r="A38" s="21"/>
      <c r="B38" s="21"/>
      <c r="C38" s="18" t="s">
        <v>943</v>
      </c>
      <c r="D38" s="21"/>
      <c r="E38" s="23"/>
      <c r="F38" s="23"/>
      <c r="G38" s="23"/>
      <c r="H38" s="23"/>
      <c r="I38" s="23"/>
      <c r="J38" s="23"/>
      <c r="K38"/>
    </row>
    <row r="39" spans="1:11">
      <c r="A39" s="21" t="s">
        <v>605</v>
      </c>
      <c r="B39" s="21"/>
      <c r="C39" s="70" t="s">
        <v>604</v>
      </c>
      <c r="D39" s="21"/>
      <c r="E39" s="22">
        <v>30000</v>
      </c>
      <c r="F39" s="22">
        <v>0</v>
      </c>
      <c r="G39" s="22">
        <v>31302.07</v>
      </c>
      <c r="H39" s="22">
        <v>31302.07</v>
      </c>
      <c r="I39" s="22">
        <v>0</v>
      </c>
      <c r="J39" s="22"/>
      <c r="K39"/>
    </row>
    <row r="40" spans="1:11" s="3" customFormat="1" ht="15.75" thickBot="1">
      <c r="A40" s="18"/>
      <c r="B40" s="18"/>
      <c r="C40" s="18" t="s">
        <v>841</v>
      </c>
      <c r="D40" s="18"/>
      <c r="E40" s="74">
        <f>SUM(E39:E39)</f>
        <v>30000</v>
      </c>
      <c r="F40" s="74">
        <f>SUM(F39:F39)</f>
        <v>0</v>
      </c>
      <c r="G40" s="74">
        <f>SUM(G39:G39)</f>
        <v>31302.07</v>
      </c>
      <c r="H40" s="74">
        <f>SUM(H39:H39)</f>
        <v>31302.07</v>
      </c>
      <c r="I40" s="74">
        <f>SUM(I39:I39)</f>
        <v>0</v>
      </c>
      <c r="J40" s="83"/>
    </row>
    <row r="41" spans="1:11" ht="15.75" thickTop="1">
      <c r="A41" s="21"/>
      <c r="B41" s="21"/>
      <c r="C41" s="21"/>
      <c r="D41" s="21"/>
      <c r="E41" s="23"/>
      <c r="F41" s="23"/>
      <c r="G41" s="23"/>
      <c r="H41" s="23"/>
      <c r="I41" s="23"/>
      <c r="J41" s="23"/>
      <c r="K41"/>
    </row>
    <row r="42" spans="1:11" s="3" customFormat="1" ht="15.75" thickBot="1">
      <c r="A42" s="18" t="s">
        <v>1000</v>
      </c>
      <c r="B42" s="18"/>
      <c r="C42" s="18"/>
      <c r="D42" s="18"/>
      <c r="E42" s="27">
        <f>E24+E32+E36+E40</f>
        <v>62000</v>
      </c>
      <c r="F42" s="27">
        <f t="shared" ref="F42:I42" si="6">F24+F32+F36+F40</f>
        <v>0</v>
      </c>
      <c r="G42" s="27">
        <f t="shared" si="6"/>
        <v>101491.01000000001</v>
      </c>
      <c r="H42" s="27">
        <f t="shared" si="6"/>
        <v>101491.01000000001</v>
      </c>
      <c r="I42" s="27">
        <f t="shared" si="6"/>
        <v>68000</v>
      </c>
      <c r="J42" s="134"/>
    </row>
    <row r="43" spans="1:11" ht="15.75" thickTop="1">
      <c r="A43" s="21"/>
      <c r="B43" s="21"/>
      <c r="C43" s="21"/>
      <c r="D43" s="21"/>
      <c r="E43" s="23"/>
      <c r="F43" s="23"/>
      <c r="G43" s="23"/>
      <c r="H43" s="23"/>
      <c r="I43" s="23"/>
      <c r="J43" s="23"/>
      <c r="K43"/>
    </row>
    <row r="44" spans="1:11">
      <c r="A44" s="21"/>
      <c r="B44" s="21"/>
      <c r="C44" s="21"/>
      <c r="D44" s="21"/>
      <c r="E44" s="23"/>
      <c r="F44" s="23"/>
      <c r="G44" s="23"/>
      <c r="H44" s="23"/>
      <c r="I44" s="23"/>
      <c r="J44" s="23"/>
      <c r="K44"/>
    </row>
  </sheetData>
  <mergeCells count="1">
    <mergeCell ref="A1:E1"/>
  </mergeCells>
  <pageMargins left="0.7" right="0.7" top="0.75" bottom="0.75" header="0.3" footer="0.3"/>
  <pageSetup scale="72" fitToHeight="0" orientation="landscape" r:id="rId1"/>
  <headerFooter>
    <oddFooter>&amp;L&amp;D&amp;CWorksheet
Page &amp;P&amp;R&amp;T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34"/>
  <sheetViews>
    <sheetView topLeftCell="A10" workbookViewId="0">
      <selection activeCell="B21" sqref="B21:G21"/>
    </sheetView>
  </sheetViews>
  <sheetFormatPr defaultRowHeight="15"/>
  <cols>
    <col min="1" max="1" width="42.140625" bestFit="1" customWidth="1"/>
    <col min="2" max="3" width="14.28515625" style="1" bestFit="1" customWidth="1"/>
    <col min="4" max="4" width="17.42578125" style="1" bestFit="1" customWidth="1"/>
    <col min="5" max="5" width="14.28515625" style="1" bestFit="1" customWidth="1"/>
    <col min="6" max="6" width="13.28515625" style="1" customWidth="1"/>
    <col min="7" max="7" width="14.28515625" style="1" bestFit="1" customWidth="1"/>
  </cols>
  <sheetData>
    <row r="1" spans="1:8">
      <c r="A1" s="200" t="s">
        <v>41</v>
      </c>
      <c r="B1" s="200"/>
      <c r="C1" s="200"/>
      <c r="D1" s="200"/>
      <c r="E1" s="200"/>
      <c r="F1" s="200"/>
      <c r="G1" s="200"/>
      <c r="H1" s="84"/>
    </row>
    <row r="2" spans="1:8">
      <c r="A2" s="200" t="s">
        <v>657</v>
      </c>
      <c r="B2" s="200"/>
      <c r="C2" s="200"/>
      <c r="D2" s="200"/>
      <c r="E2" s="200"/>
      <c r="F2" s="200"/>
      <c r="G2" s="200"/>
      <c r="H2" s="84"/>
    </row>
    <row r="3" spans="1:8" ht="7.5" customHeight="1">
      <c r="A3" s="18" t="s">
        <v>13</v>
      </c>
      <c r="B3" s="76" t="s">
        <v>13</v>
      </c>
      <c r="C3" s="76" t="s">
        <v>13</v>
      </c>
      <c r="D3" s="76"/>
      <c r="E3" s="76" t="s">
        <v>13</v>
      </c>
      <c r="F3" s="76" t="s">
        <v>13</v>
      </c>
      <c r="G3" s="76" t="s">
        <v>13</v>
      </c>
      <c r="H3" s="84"/>
    </row>
    <row r="4" spans="1:8">
      <c r="A4" s="18"/>
      <c r="B4" s="46">
        <v>2019</v>
      </c>
      <c r="C4" s="46">
        <v>2020</v>
      </c>
      <c r="D4" s="46">
        <v>2020</v>
      </c>
      <c r="E4" s="39">
        <v>2020</v>
      </c>
      <c r="F4" s="39">
        <v>2020</v>
      </c>
      <c r="G4" s="47" t="s">
        <v>958</v>
      </c>
      <c r="H4" s="84"/>
    </row>
    <row r="5" spans="1:8">
      <c r="A5" s="48" t="s">
        <v>749</v>
      </c>
      <c r="B5" s="49" t="s">
        <v>716</v>
      </c>
      <c r="C5" s="49" t="s">
        <v>747</v>
      </c>
      <c r="D5" s="49" t="s">
        <v>748</v>
      </c>
      <c r="E5" s="49" t="s">
        <v>1048</v>
      </c>
      <c r="F5" s="49" t="s">
        <v>789</v>
      </c>
      <c r="G5" s="50" t="s">
        <v>718</v>
      </c>
      <c r="H5" s="84"/>
    </row>
    <row r="6" spans="1:8">
      <c r="A6" s="21"/>
      <c r="B6" s="76"/>
      <c r="C6" s="76"/>
      <c r="D6" s="76"/>
      <c r="E6" s="76"/>
      <c r="F6" s="76"/>
      <c r="G6" s="76"/>
      <c r="H6" s="84"/>
    </row>
    <row r="7" spans="1:8">
      <c r="A7" s="18" t="s">
        <v>944</v>
      </c>
      <c r="B7" s="76"/>
      <c r="C7" s="76"/>
      <c r="D7" s="76"/>
      <c r="E7" s="76"/>
      <c r="F7" s="76"/>
      <c r="G7" s="76"/>
      <c r="H7" s="21"/>
    </row>
    <row r="8" spans="1:8">
      <c r="A8" s="70" t="s">
        <v>461</v>
      </c>
      <c r="B8" s="77">
        <v>95338</v>
      </c>
      <c r="C8" s="77">
        <f>'Worksheet - Grand Theater (070)'!E13</f>
        <v>95050</v>
      </c>
      <c r="D8" s="77">
        <f>'Worksheet - Grand Theater (070)'!F13</f>
        <v>0</v>
      </c>
      <c r="E8" s="77">
        <f>'Worksheet - Grand Theater (070)'!G13</f>
        <v>23351</v>
      </c>
      <c r="F8" s="77">
        <f>'Worksheet - Grand Theater (070)'!H13</f>
        <v>25473.81818181818</v>
      </c>
      <c r="G8" s="77">
        <f>'Worksheet - Grand Theater (070)'!I13</f>
        <v>95050</v>
      </c>
    </row>
    <row r="9" spans="1:8">
      <c r="A9" s="70" t="s">
        <v>457</v>
      </c>
      <c r="B9" s="77">
        <v>2980</v>
      </c>
      <c r="C9" s="77">
        <f>'Worksheet - Grand Theater (070)'!E17</f>
        <v>2500</v>
      </c>
      <c r="D9" s="77">
        <f>'Worksheet - Grand Theater (070)'!F17</f>
        <v>0</v>
      </c>
      <c r="E9" s="77">
        <f>'Worksheet - Grand Theater (070)'!G17</f>
        <v>1865</v>
      </c>
      <c r="F9" s="77">
        <f>'Worksheet - Grand Theater (070)'!H17</f>
        <v>2034.5454545454545</v>
      </c>
      <c r="G9" s="77">
        <f>'Worksheet - Grand Theater (070)'!I17</f>
        <v>2500</v>
      </c>
    </row>
    <row r="10" spans="1:8">
      <c r="A10" s="70" t="s">
        <v>459</v>
      </c>
      <c r="B10" s="77">
        <v>925</v>
      </c>
      <c r="C10" s="77">
        <f>'Worksheet - Grand Theater (070)'!E21</f>
        <v>1000</v>
      </c>
      <c r="D10" s="77">
        <f>'Worksheet - Grand Theater (070)'!F21</f>
        <v>0</v>
      </c>
      <c r="E10" s="77">
        <f>'Worksheet - Grand Theater (070)'!G21</f>
        <v>11506.52</v>
      </c>
      <c r="F10" s="77">
        <f>'Worksheet - Grand Theater (070)'!H21</f>
        <v>11506.52</v>
      </c>
      <c r="G10" s="77">
        <f>'Worksheet - Grand Theater (070)'!I21</f>
        <v>10000</v>
      </c>
    </row>
    <row r="11" spans="1:8" ht="15.75" thickBot="1">
      <c r="A11" s="18" t="s">
        <v>460</v>
      </c>
      <c r="B11" s="78">
        <f>SUM(B8:B10)</f>
        <v>99243</v>
      </c>
      <c r="C11" s="78">
        <f t="shared" ref="C11:G11" si="0">SUM(C8:C10)</f>
        <v>98550</v>
      </c>
      <c r="D11" s="78">
        <f t="shared" si="0"/>
        <v>0</v>
      </c>
      <c r="E11" s="78">
        <f t="shared" si="0"/>
        <v>36722.520000000004</v>
      </c>
      <c r="F11" s="78">
        <f t="shared" si="0"/>
        <v>39014.883636363636</v>
      </c>
      <c r="G11" s="78">
        <f t="shared" si="0"/>
        <v>107550</v>
      </c>
    </row>
    <row r="12" spans="1:8" ht="15.75" thickTop="1">
      <c r="A12" s="21"/>
      <c r="B12" s="77"/>
      <c r="C12" s="77"/>
      <c r="D12" s="77"/>
      <c r="E12" s="77"/>
      <c r="F12" s="77"/>
      <c r="G12" s="77"/>
    </row>
    <row r="13" spans="1:8">
      <c r="A13" s="21"/>
      <c r="B13" s="79" t="s">
        <v>13</v>
      </c>
      <c r="C13" s="79" t="s">
        <v>13</v>
      </c>
      <c r="D13" s="79"/>
      <c r="E13" s="79" t="s">
        <v>13</v>
      </c>
      <c r="F13" s="79" t="s">
        <v>13</v>
      </c>
      <c r="G13" s="79" t="s">
        <v>13</v>
      </c>
    </row>
    <row r="14" spans="1:8">
      <c r="A14" s="18" t="s">
        <v>782</v>
      </c>
      <c r="B14" s="79"/>
      <c r="C14" s="79"/>
      <c r="D14" s="79"/>
      <c r="E14" s="79"/>
      <c r="F14" s="79"/>
      <c r="G14" s="79"/>
      <c r="H14" s="21"/>
    </row>
    <row r="15" spans="1:8">
      <c r="A15" s="70" t="s">
        <v>30</v>
      </c>
      <c r="B15" s="80">
        <f>24591.3+1893.67</f>
        <v>26484.97</v>
      </c>
      <c r="C15" s="77">
        <f>'Worksheet - Grand Theater (070)'!E38</f>
        <v>26913</v>
      </c>
      <c r="D15" s="77">
        <f>'Worksheet - Grand Theater (070)'!F38</f>
        <v>0</v>
      </c>
      <c r="E15" s="77">
        <f>'Worksheet - Grand Theater (070)'!G38</f>
        <v>9691.7900000000009</v>
      </c>
      <c r="F15" s="77">
        <f>'Worksheet - Grand Theater (070)'!H38</f>
        <v>10499.373625</v>
      </c>
      <c r="G15" s="77">
        <f>'Worksheet - Grand Theater (070)'!I38</f>
        <v>26912.5</v>
      </c>
    </row>
    <row r="16" spans="1:8">
      <c r="A16" s="70" t="s">
        <v>210</v>
      </c>
      <c r="B16" s="80">
        <f>5982.62+4671.56+3446+1722.84+5774.93+1347.07+336+2120</f>
        <v>25401.02</v>
      </c>
      <c r="C16" s="77">
        <f>'Worksheet - Grand Theater (070)'!E51</f>
        <v>21636</v>
      </c>
      <c r="D16" s="77">
        <f>'Worksheet - Grand Theater (070)'!F51</f>
        <v>0</v>
      </c>
      <c r="E16" s="77">
        <f>'Worksheet - Grand Theater (070)'!G51</f>
        <v>12198.349999999999</v>
      </c>
      <c r="F16" s="77">
        <f>'Worksheet - Grand Theater (070)'!H51</f>
        <v>13307.290909090911</v>
      </c>
      <c r="G16" s="77">
        <f>'Worksheet - Grand Theater (070)'!I51</f>
        <v>21635</v>
      </c>
    </row>
    <row r="17" spans="1:7">
      <c r="A17" s="70" t="s">
        <v>212</v>
      </c>
      <c r="B17" s="80">
        <f>14676.98+33377.12+213.83+1957.7+2748.07</f>
        <v>52973.700000000004</v>
      </c>
      <c r="C17" s="77">
        <f>'Worksheet - Grand Theater (070)'!E56</f>
        <v>2500</v>
      </c>
      <c r="D17" s="77">
        <f>'Worksheet - Grand Theater (070)'!F56</f>
        <v>0</v>
      </c>
      <c r="E17" s="77">
        <f>'Worksheet - Grand Theater (070)'!G56</f>
        <v>835.45</v>
      </c>
      <c r="F17" s="77">
        <f>'Worksheet - Grand Theater (070)'!H56</f>
        <v>911.4</v>
      </c>
      <c r="G17" s="77">
        <f>'Worksheet - Grand Theater (070)'!I56</f>
        <v>2000</v>
      </c>
    </row>
    <row r="18" spans="1:7">
      <c r="A18" s="70" t="s">
        <v>223</v>
      </c>
      <c r="B18" s="80">
        <v>520.04999999999995</v>
      </c>
      <c r="C18" s="77">
        <f>'Worksheet - Grand Theater (070)'!E61</f>
        <v>600</v>
      </c>
      <c r="D18" s="77">
        <f>'Worksheet - Grand Theater (070)'!F61</f>
        <v>0</v>
      </c>
      <c r="E18" s="77">
        <f>'Worksheet - Grand Theater (070)'!G61</f>
        <v>83.1</v>
      </c>
      <c r="F18" s="77">
        <f>'Worksheet - Grand Theater (070)'!H61</f>
        <v>90.654545454545442</v>
      </c>
      <c r="G18" s="77">
        <f>'Worksheet - Grand Theater (070)'!I61</f>
        <v>550</v>
      </c>
    </row>
    <row r="19" spans="1:7">
      <c r="A19" s="70" t="s">
        <v>380</v>
      </c>
      <c r="B19" s="80">
        <v>0</v>
      </c>
      <c r="C19" s="77">
        <f>'Worksheet - Grand Theater (070)'!E68</f>
        <v>54000</v>
      </c>
      <c r="D19" s="77">
        <f>'Worksheet - Grand Theater (070)'!F68</f>
        <v>0</v>
      </c>
      <c r="E19" s="77">
        <f>'Worksheet - Grand Theater (070)'!G68</f>
        <v>12083.11</v>
      </c>
      <c r="F19" s="77">
        <f>'Worksheet - Grand Theater (070)'!H68</f>
        <v>13181.574545454545</v>
      </c>
      <c r="G19" s="77">
        <f>'Worksheet - Grand Theater (070)'!I68</f>
        <v>48500</v>
      </c>
    </row>
    <row r="20" spans="1:7">
      <c r="A20" s="70" t="s">
        <v>32</v>
      </c>
      <c r="B20" s="80">
        <v>0</v>
      </c>
      <c r="C20" s="77">
        <f>'Worksheet - Grand Theater (070)'!E72</f>
        <v>0</v>
      </c>
      <c r="D20" s="77">
        <f>'Worksheet - Grand Theater (070)'!F72</f>
        <v>0</v>
      </c>
      <c r="E20" s="77">
        <f>'Worksheet - Grand Theater (070)'!G72</f>
        <v>0</v>
      </c>
      <c r="F20" s="77">
        <f>'Worksheet - Grand Theater (070)'!H72</f>
        <v>0</v>
      </c>
      <c r="G20" s="77">
        <f>'Worksheet - Grand Theater (070)'!I72</f>
        <v>0</v>
      </c>
    </row>
    <row r="21" spans="1:7" ht="15.75" thickBot="1">
      <c r="A21" s="18" t="s">
        <v>5</v>
      </c>
      <c r="B21" s="78">
        <f>SUM(B15:B20)</f>
        <v>105379.74</v>
      </c>
      <c r="C21" s="78">
        <f t="shared" ref="C21:G21" si="1">SUM(C15:C20)</f>
        <v>105649</v>
      </c>
      <c r="D21" s="78">
        <f t="shared" si="1"/>
        <v>0</v>
      </c>
      <c r="E21" s="78">
        <f t="shared" si="1"/>
        <v>34891.800000000003</v>
      </c>
      <c r="F21" s="78">
        <f t="shared" si="1"/>
        <v>37990.293624999998</v>
      </c>
      <c r="G21" s="78">
        <f t="shared" si="1"/>
        <v>99597.5</v>
      </c>
    </row>
    <row r="22" spans="1:7" ht="15.75" thickTop="1">
      <c r="A22" s="21"/>
      <c r="B22" s="77"/>
      <c r="C22" s="77"/>
      <c r="D22" s="77"/>
      <c r="E22" s="77"/>
      <c r="F22" s="77"/>
      <c r="G22" s="77"/>
    </row>
    <row r="23" spans="1:7" s="3" customFormat="1" ht="34.5" customHeight="1" thickBot="1">
      <c r="A23" s="68" t="s">
        <v>752</v>
      </c>
      <c r="B23" s="55">
        <f>B11-B21</f>
        <v>-6136.7400000000052</v>
      </c>
      <c r="C23" s="55">
        <f>C11-C21</f>
        <v>-7099</v>
      </c>
      <c r="D23" s="55">
        <f t="shared" ref="D23:G23" si="2">D11-D21</f>
        <v>0</v>
      </c>
      <c r="E23" s="55">
        <f t="shared" si="2"/>
        <v>1830.7200000000012</v>
      </c>
      <c r="F23" s="55">
        <f t="shared" si="2"/>
        <v>1024.590011363638</v>
      </c>
      <c r="G23" s="55">
        <f t="shared" si="2"/>
        <v>7952.5</v>
      </c>
    </row>
    <row r="24" spans="1:7" ht="15.75" thickTop="1">
      <c r="A24" s="21"/>
      <c r="B24" s="58"/>
      <c r="C24" s="58"/>
      <c r="D24" s="58"/>
      <c r="E24" s="58"/>
      <c r="F24" s="58"/>
      <c r="G24" s="58"/>
    </row>
    <row r="25" spans="1:7">
      <c r="A25" s="18" t="s">
        <v>753</v>
      </c>
      <c r="B25" s="58"/>
      <c r="C25" s="58"/>
      <c r="D25" s="58"/>
      <c r="E25" s="58"/>
      <c r="F25" s="58"/>
      <c r="G25" s="58"/>
    </row>
    <row r="26" spans="1:7">
      <c r="A26" s="70" t="s">
        <v>10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s="3" customFormat="1" ht="15.75" thickBot="1">
      <c r="A27" s="18" t="s">
        <v>754</v>
      </c>
      <c r="B27" s="78">
        <f>SUM(B26:B26)</f>
        <v>0</v>
      </c>
      <c r="C27" s="78">
        <f>SUM(C26:C26)</f>
        <v>0</v>
      </c>
      <c r="D27" s="78"/>
      <c r="E27" s="78">
        <f>SUM(E26:E26)</f>
        <v>0</v>
      </c>
      <c r="F27" s="78">
        <f>SUM(F26:F26)</f>
        <v>0</v>
      </c>
      <c r="G27" s="78">
        <f>SUM(G26:G26)</f>
        <v>0</v>
      </c>
    </row>
    <row r="28" spans="1:7" ht="15.75" thickTop="1">
      <c r="A28" s="21"/>
      <c r="B28" s="58"/>
      <c r="C28" s="58"/>
      <c r="D28" s="58"/>
      <c r="E28" s="58"/>
      <c r="F28" s="58"/>
      <c r="G28" s="58"/>
    </row>
    <row r="29" spans="1:7" s="3" customFormat="1" ht="45.75" customHeight="1" thickBot="1">
      <c r="A29" s="68" t="s">
        <v>756</v>
      </c>
      <c r="B29" s="78">
        <f>B23+B27</f>
        <v>-6136.7400000000052</v>
      </c>
      <c r="C29" s="78">
        <f t="shared" ref="C29:G29" si="3">C23+C27</f>
        <v>-7099</v>
      </c>
      <c r="D29" s="78">
        <f t="shared" si="3"/>
        <v>0</v>
      </c>
      <c r="E29" s="78">
        <f t="shared" si="3"/>
        <v>1830.7200000000012</v>
      </c>
      <c r="F29" s="78">
        <f t="shared" si="3"/>
        <v>1024.590011363638</v>
      </c>
      <c r="G29" s="78">
        <f t="shared" si="3"/>
        <v>7952.5</v>
      </c>
    </row>
    <row r="30" spans="1:7" ht="15.75" thickTop="1">
      <c r="A30" s="21"/>
      <c r="B30" s="58"/>
      <c r="C30" s="58"/>
      <c r="D30" s="58"/>
      <c r="E30" s="58"/>
      <c r="F30" s="58"/>
      <c r="G30" s="58"/>
    </row>
    <row r="31" spans="1:7">
      <c r="A31" s="70" t="s">
        <v>14</v>
      </c>
      <c r="B31" s="77">
        <v>-1150</v>
      </c>
      <c r="C31" s="77">
        <f>B32</f>
        <v>-7286.7400000000052</v>
      </c>
      <c r="D31" s="77">
        <v>0</v>
      </c>
      <c r="E31" s="77">
        <f>B32</f>
        <v>-7286.7400000000052</v>
      </c>
      <c r="F31" s="77">
        <f>B32</f>
        <v>-7286.7400000000052</v>
      </c>
      <c r="G31" s="77">
        <f>F32</f>
        <v>-6262.1499886363672</v>
      </c>
    </row>
    <row r="32" spans="1:7" ht="15.75" thickBot="1">
      <c r="A32" s="18" t="s">
        <v>758</v>
      </c>
      <c r="B32" s="78">
        <f>B31+B29</f>
        <v>-7286.7400000000052</v>
      </c>
      <c r="C32" s="78">
        <f>C31+C29</f>
        <v>-14385.740000000005</v>
      </c>
      <c r="D32" s="78">
        <v>0</v>
      </c>
      <c r="E32" s="78">
        <f t="shared" ref="E32:G32" si="4">E31+E29</f>
        <v>-5456.0200000000041</v>
      </c>
      <c r="F32" s="78">
        <f t="shared" si="4"/>
        <v>-6262.1499886363672</v>
      </c>
      <c r="G32" s="78">
        <f t="shared" si="4"/>
        <v>1690.3500113636328</v>
      </c>
    </row>
    <row r="33" spans="1:1" ht="15.75" thickTop="1"/>
    <row r="34" spans="1:1">
      <c r="A34" t="s">
        <v>13</v>
      </c>
    </row>
  </sheetData>
  <mergeCells count="2">
    <mergeCell ref="A1:G1"/>
    <mergeCell ref="A2:G2"/>
  </mergeCells>
  <pageMargins left="0.7" right="0.7" top="0.75" bottom="0.75" header="0.3" footer="0.3"/>
  <pageSetup scale="6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75"/>
  <sheetViews>
    <sheetView workbookViewId="0">
      <selection activeCell="I48" sqref="I48"/>
    </sheetView>
  </sheetViews>
  <sheetFormatPr defaultRowHeight="15"/>
  <cols>
    <col min="1" max="1" width="10.7109375" style="84" customWidth="1"/>
    <col min="2" max="2" width="5.7109375" style="84" customWidth="1"/>
    <col min="3" max="3" width="36" style="84" bestFit="1" customWidth="1"/>
    <col min="4" max="4" width="5.7109375" style="84" customWidth="1"/>
    <col min="5" max="5" width="10" style="84" bestFit="1" customWidth="1"/>
    <col min="6" max="6" width="17.42578125" style="129" bestFit="1" customWidth="1"/>
    <col min="7" max="7" width="12" style="129" bestFit="1" customWidth="1"/>
    <col min="8" max="8" width="13.28515625" style="129" bestFit="1" customWidth="1"/>
    <col min="9" max="9" width="11.42578125" style="129" bestFit="1" customWidth="1"/>
    <col min="10" max="10" width="32" style="129" customWidth="1"/>
    <col min="11" max="11" width="12.7109375" style="9" customWidth="1"/>
    <col min="12" max="12" width="30.5703125" customWidth="1"/>
  </cols>
  <sheetData>
    <row r="1" spans="1:12">
      <c r="A1" s="202" t="s">
        <v>947</v>
      </c>
      <c r="B1" s="202"/>
      <c r="C1" s="202"/>
      <c r="D1" s="202"/>
      <c r="E1" s="23"/>
      <c r="F1" s="21"/>
      <c r="G1" s="21"/>
      <c r="H1" s="21"/>
      <c r="I1" s="21"/>
      <c r="J1" s="84"/>
      <c r="K1" s="84"/>
      <c r="L1" s="84"/>
    </row>
    <row r="2" spans="1:12">
      <c r="A2" s="43"/>
      <c r="B2" s="43"/>
      <c r="C2" s="43"/>
      <c r="D2" s="23"/>
      <c r="E2" s="21"/>
      <c r="F2" s="21"/>
      <c r="G2" s="21"/>
      <c r="H2" s="21"/>
      <c r="I2" s="84"/>
      <c r="J2" s="84"/>
      <c r="K2" s="84"/>
    </row>
    <row r="3" spans="1:12">
      <c r="A3" s="21"/>
      <c r="B3" s="21"/>
      <c r="E3" s="46">
        <v>2020</v>
      </c>
      <c r="F3" s="46">
        <v>2020</v>
      </c>
      <c r="G3" s="39">
        <v>2020</v>
      </c>
      <c r="H3" s="39">
        <v>2020</v>
      </c>
      <c r="I3" s="47" t="s">
        <v>958</v>
      </c>
      <c r="J3" s="48" t="s">
        <v>772</v>
      </c>
      <c r="K3" s="84"/>
    </row>
    <row r="4" spans="1:12">
      <c r="A4" s="135"/>
      <c r="B4" s="135"/>
      <c r="C4" s="135"/>
      <c r="D4" s="135"/>
      <c r="E4" s="136" t="s">
        <v>747</v>
      </c>
      <c r="F4" s="136" t="s">
        <v>748</v>
      </c>
      <c r="G4" s="136" t="s">
        <v>1048</v>
      </c>
      <c r="H4" s="136" t="s">
        <v>789</v>
      </c>
      <c r="I4" s="137" t="s">
        <v>718</v>
      </c>
      <c r="J4" s="138"/>
      <c r="K4" s="84"/>
    </row>
    <row r="5" spans="1:12">
      <c r="A5" s="139"/>
      <c r="B5" s="140"/>
      <c r="C5" s="135"/>
      <c r="D5" s="135"/>
      <c r="E5" s="135"/>
      <c r="F5" s="135"/>
      <c r="G5" s="135"/>
      <c r="H5" s="135"/>
      <c r="I5" s="135"/>
      <c r="J5" s="135"/>
      <c r="K5" s="84"/>
    </row>
    <row r="6" spans="1:12">
      <c r="A6" s="138" t="s">
        <v>951</v>
      </c>
      <c r="B6" s="135"/>
      <c r="C6" s="135"/>
      <c r="D6" s="141"/>
      <c r="E6" s="141"/>
      <c r="F6" s="141"/>
      <c r="G6" s="141"/>
      <c r="H6" s="141"/>
      <c r="I6" s="141"/>
      <c r="J6" s="135"/>
      <c r="K6"/>
    </row>
    <row r="7" spans="1:12">
      <c r="A7" s="138"/>
      <c r="B7" s="135"/>
      <c r="C7" s="135"/>
      <c r="D7" s="141"/>
      <c r="E7" s="141"/>
      <c r="F7" s="141"/>
      <c r="G7" s="141"/>
      <c r="H7" s="141"/>
      <c r="I7" s="135"/>
      <c r="J7" s="135"/>
      <c r="K7"/>
    </row>
    <row r="8" spans="1:12">
      <c r="A8" s="138"/>
      <c r="B8" s="135"/>
      <c r="C8" s="138" t="s">
        <v>948</v>
      </c>
      <c r="D8" s="141"/>
      <c r="E8" s="141"/>
      <c r="F8" s="141"/>
      <c r="G8" s="141"/>
      <c r="H8" s="141"/>
      <c r="I8" s="135"/>
      <c r="J8" s="135"/>
      <c r="K8"/>
    </row>
    <row r="9" spans="1:12">
      <c r="A9" s="135" t="s">
        <v>658</v>
      </c>
      <c r="B9" s="135"/>
      <c r="C9" s="145" t="s">
        <v>659</v>
      </c>
      <c r="D9" s="135"/>
      <c r="E9" s="142">
        <v>35000</v>
      </c>
      <c r="F9" s="142">
        <v>0</v>
      </c>
      <c r="G9" s="142">
        <v>8578</v>
      </c>
      <c r="H9" s="142">
        <f>(G9/11)*12</f>
        <v>9357.818181818182</v>
      </c>
      <c r="I9" s="142">
        <v>35000</v>
      </c>
      <c r="J9" s="142"/>
      <c r="K9"/>
    </row>
    <row r="10" spans="1:12">
      <c r="A10" s="135" t="s">
        <v>660</v>
      </c>
      <c r="B10" s="135"/>
      <c r="C10" s="145" t="s">
        <v>661</v>
      </c>
      <c r="D10" s="135"/>
      <c r="E10" s="142">
        <v>55000</v>
      </c>
      <c r="F10" s="142">
        <v>0</v>
      </c>
      <c r="G10" s="142">
        <v>13573</v>
      </c>
      <c r="H10" s="142">
        <f t="shared" ref="H10:H12" si="0">(G10/11)*12</f>
        <v>14806.909090909092</v>
      </c>
      <c r="I10" s="142">
        <v>55000</v>
      </c>
      <c r="J10" s="142"/>
      <c r="K10"/>
    </row>
    <row r="11" spans="1:12">
      <c r="A11" s="135" t="s">
        <v>662</v>
      </c>
      <c r="B11" s="135"/>
      <c r="C11" s="145" t="s">
        <v>663</v>
      </c>
      <c r="D11" s="135"/>
      <c r="E11" s="142">
        <v>5000</v>
      </c>
      <c r="F11" s="142">
        <v>0</v>
      </c>
      <c r="G11" s="142">
        <v>1200</v>
      </c>
      <c r="H11" s="142">
        <f t="shared" si="0"/>
        <v>1309.090909090909</v>
      </c>
      <c r="I11" s="142">
        <v>5000</v>
      </c>
      <c r="J11" s="142"/>
      <c r="K11"/>
    </row>
    <row r="12" spans="1:12">
      <c r="A12" s="135" t="s">
        <v>664</v>
      </c>
      <c r="B12" s="135"/>
      <c r="C12" s="145" t="s">
        <v>665</v>
      </c>
      <c r="D12" s="135"/>
      <c r="E12" s="142">
        <v>50</v>
      </c>
      <c r="F12" s="142">
        <v>0</v>
      </c>
      <c r="G12" s="142">
        <v>0</v>
      </c>
      <c r="H12" s="142">
        <f t="shared" si="0"/>
        <v>0</v>
      </c>
      <c r="I12" s="142">
        <v>50</v>
      </c>
      <c r="J12" s="142"/>
      <c r="K12"/>
    </row>
    <row r="13" spans="1:12" s="3" customFormat="1" ht="15.75" thickBot="1">
      <c r="A13" s="138"/>
      <c r="B13" s="138"/>
      <c r="C13" s="138" t="s">
        <v>638</v>
      </c>
      <c r="D13" s="138"/>
      <c r="E13" s="148">
        <f>SUM(E9:E12)</f>
        <v>95050</v>
      </c>
      <c r="F13" s="148">
        <f t="shared" ref="F13:I13" si="1">SUM(F9:F12)</f>
        <v>0</v>
      </c>
      <c r="G13" s="148">
        <f t="shared" si="1"/>
        <v>23351</v>
      </c>
      <c r="H13" s="148">
        <f t="shared" si="1"/>
        <v>25473.81818181818</v>
      </c>
      <c r="I13" s="148">
        <f t="shared" si="1"/>
        <v>95050</v>
      </c>
      <c r="J13" s="149"/>
    </row>
    <row r="14" spans="1:12" ht="15.75" thickTop="1">
      <c r="A14" s="135"/>
      <c r="B14" s="135"/>
      <c r="C14" s="135"/>
      <c r="D14" s="135"/>
      <c r="E14" s="141"/>
      <c r="F14" s="141"/>
      <c r="G14" s="141"/>
      <c r="H14" s="141"/>
      <c r="I14" s="141"/>
      <c r="J14" s="141"/>
      <c r="K14"/>
    </row>
    <row r="15" spans="1:12">
      <c r="A15" s="135"/>
      <c r="B15" s="135"/>
      <c r="C15" s="138" t="s">
        <v>769</v>
      </c>
      <c r="D15" s="135"/>
      <c r="E15" s="141"/>
      <c r="F15" s="141"/>
      <c r="G15" s="141"/>
      <c r="H15" s="141"/>
      <c r="I15" s="141"/>
      <c r="J15" s="141"/>
      <c r="K15"/>
    </row>
    <row r="16" spans="1:12">
      <c r="A16" s="135" t="s">
        <v>666</v>
      </c>
      <c r="B16" s="135"/>
      <c r="C16" s="145" t="s">
        <v>667</v>
      </c>
      <c r="D16" s="135"/>
      <c r="E16" s="142">
        <v>2500</v>
      </c>
      <c r="F16" s="142">
        <v>0</v>
      </c>
      <c r="G16" s="142">
        <v>1865</v>
      </c>
      <c r="H16" s="142">
        <f>(G16/11)*12</f>
        <v>2034.5454545454545</v>
      </c>
      <c r="I16" s="142">
        <v>2500</v>
      </c>
      <c r="J16" s="142"/>
      <c r="K16"/>
    </row>
    <row r="17" spans="1:11" s="3" customFormat="1" ht="15.75" thickBot="1">
      <c r="A17" s="138"/>
      <c r="B17" s="138"/>
      <c r="C17" s="138" t="s">
        <v>949</v>
      </c>
      <c r="D17" s="138"/>
      <c r="E17" s="148">
        <f>SUM(E16)</f>
        <v>2500</v>
      </c>
      <c r="F17" s="148">
        <f t="shared" ref="F17:I17" si="2">SUM(F16)</f>
        <v>0</v>
      </c>
      <c r="G17" s="148">
        <f t="shared" si="2"/>
        <v>1865</v>
      </c>
      <c r="H17" s="148">
        <f t="shared" si="2"/>
        <v>2034.5454545454545</v>
      </c>
      <c r="I17" s="148">
        <f t="shared" si="2"/>
        <v>2500</v>
      </c>
      <c r="J17" s="149"/>
    </row>
    <row r="18" spans="1:11" ht="15.75" thickTop="1">
      <c r="A18" s="135"/>
      <c r="B18" s="135"/>
      <c r="C18" s="135"/>
      <c r="D18" s="135"/>
      <c r="E18" s="143"/>
      <c r="F18" s="143"/>
      <c r="G18" s="143"/>
      <c r="H18" s="143"/>
      <c r="I18" s="143"/>
      <c r="J18" s="143"/>
      <c r="K18"/>
    </row>
    <row r="19" spans="1:11">
      <c r="A19" s="135"/>
      <c r="B19" s="135"/>
      <c r="C19" s="138" t="s">
        <v>770</v>
      </c>
      <c r="D19" s="135"/>
      <c r="E19" s="143"/>
      <c r="F19" s="143"/>
      <c r="G19" s="143"/>
      <c r="H19" s="143"/>
      <c r="I19" s="143"/>
      <c r="J19" s="143"/>
      <c r="K19"/>
    </row>
    <row r="20" spans="1:11">
      <c r="A20" s="135" t="s">
        <v>668</v>
      </c>
      <c r="B20" s="135"/>
      <c r="C20" s="145" t="s">
        <v>669</v>
      </c>
      <c r="D20" s="135"/>
      <c r="E20" s="142">
        <v>1000</v>
      </c>
      <c r="F20" s="142">
        <v>0</v>
      </c>
      <c r="G20" s="142">
        <v>11506.52</v>
      </c>
      <c r="H20" s="142">
        <v>11506.52</v>
      </c>
      <c r="I20" s="142">
        <v>10000</v>
      </c>
      <c r="J20" s="142"/>
      <c r="K20"/>
    </row>
    <row r="21" spans="1:11" s="3" customFormat="1" ht="15.75" thickBot="1">
      <c r="A21" s="138"/>
      <c r="B21" s="138"/>
      <c r="C21" s="138" t="s">
        <v>928</v>
      </c>
      <c r="D21" s="138"/>
      <c r="E21" s="148">
        <f>SUM(E20)</f>
        <v>1000</v>
      </c>
      <c r="F21" s="148">
        <f t="shared" ref="F21" si="3">SUM(F20)</f>
        <v>0</v>
      </c>
      <c r="G21" s="148">
        <f t="shared" ref="G21" si="4">SUM(G20)</f>
        <v>11506.52</v>
      </c>
      <c r="H21" s="148">
        <f t="shared" ref="H21" si="5">SUM(H20)</f>
        <v>11506.52</v>
      </c>
      <c r="I21" s="148">
        <f t="shared" ref="I21" si="6">SUM(I20)</f>
        <v>10000</v>
      </c>
      <c r="J21" s="149"/>
    </row>
    <row r="22" spans="1:11" ht="15.75" thickTop="1">
      <c r="A22" s="135"/>
      <c r="B22" s="135"/>
      <c r="C22" s="135"/>
      <c r="D22" s="135"/>
      <c r="E22" s="143"/>
      <c r="F22" s="143"/>
      <c r="G22" s="143"/>
      <c r="H22" s="143"/>
      <c r="I22" s="143"/>
      <c r="J22" s="143"/>
      <c r="K22"/>
    </row>
    <row r="23" spans="1:11" s="3" customFormat="1" ht="15.75" thickBot="1">
      <c r="A23" s="138" t="s">
        <v>950</v>
      </c>
      <c r="B23" s="138"/>
      <c r="C23" s="138"/>
      <c r="D23" s="138"/>
      <c r="E23" s="146">
        <f>E13+E17+E21</f>
        <v>98550</v>
      </c>
      <c r="F23" s="146">
        <f>F13+F17+F21</f>
        <v>0</v>
      </c>
      <c r="G23" s="146">
        <f>G13+G17+G21</f>
        <v>36722.520000000004</v>
      </c>
      <c r="H23" s="146">
        <f>H13+H17+H21</f>
        <v>39014.883636363636</v>
      </c>
      <c r="I23" s="146">
        <f>I13+I17+I21</f>
        <v>107550</v>
      </c>
      <c r="J23" s="147"/>
    </row>
    <row r="24" spans="1:11" ht="15.75" thickTop="1">
      <c r="A24" s="135"/>
      <c r="B24" s="135"/>
      <c r="C24" s="135"/>
      <c r="D24" s="135"/>
      <c r="E24" s="141"/>
      <c r="F24" s="141"/>
      <c r="G24" s="141"/>
      <c r="H24" s="141"/>
      <c r="I24" s="141"/>
      <c r="J24" s="141"/>
      <c r="K24"/>
    </row>
    <row r="25" spans="1:11">
      <c r="A25" s="135"/>
      <c r="B25" s="135"/>
      <c r="C25" s="135"/>
      <c r="D25" s="135"/>
      <c r="E25" s="141"/>
      <c r="F25" s="141"/>
      <c r="G25" s="141"/>
      <c r="H25" s="141"/>
      <c r="I25" s="141"/>
      <c r="J25" s="141"/>
      <c r="K25"/>
    </row>
    <row r="26" spans="1:11">
      <c r="A26" s="135"/>
      <c r="B26" s="135"/>
      <c r="C26" s="135"/>
      <c r="D26" s="135"/>
      <c r="E26" s="141"/>
      <c r="F26" s="141"/>
      <c r="G26" s="141"/>
      <c r="H26" s="141"/>
      <c r="I26" s="141"/>
      <c r="J26" s="141"/>
      <c r="K26"/>
    </row>
    <row r="27" spans="1:11">
      <c r="A27" s="138" t="s">
        <v>952</v>
      </c>
      <c r="B27" s="135"/>
      <c r="C27" s="135"/>
      <c r="D27" s="141"/>
      <c r="E27" s="141"/>
      <c r="F27" s="141"/>
      <c r="G27" s="141"/>
      <c r="H27" s="141"/>
      <c r="I27" s="141"/>
      <c r="J27" s="135"/>
      <c r="K27"/>
    </row>
    <row r="28" spans="1:11">
      <c r="A28" s="138"/>
      <c r="B28" s="135"/>
      <c r="C28" s="135"/>
      <c r="D28" s="141"/>
      <c r="E28" s="141"/>
      <c r="F28" s="141"/>
      <c r="G28" s="141"/>
      <c r="H28" s="141"/>
      <c r="I28" s="141"/>
      <c r="J28" s="135"/>
      <c r="K28"/>
    </row>
    <row r="29" spans="1:11">
      <c r="A29" s="138"/>
      <c r="B29" s="135"/>
      <c r="C29" s="138" t="s">
        <v>30</v>
      </c>
      <c r="D29" s="141"/>
      <c r="E29" s="141"/>
      <c r="F29" s="141"/>
      <c r="G29" s="141"/>
      <c r="H29" s="141"/>
      <c r="I29" s="141"/>
      <c r="J29" s="135"/>
      <c r="K29"/>
    </row>
    <row r="30" spans="1:11">
      <c r="A30" s="138"/>
      <c r="B30" s="135"/>
      <c r="C30" s="151" t="s">
        <v>953</v>
      </c>
      <c r="D30" s="141"/>
      <c r="E30" s="141"/>
      <c r="F30" s="141"/>
      <c r="G30" s="141"/>
      <c r="H30" s="141"/>
      <c r="I30" s="141"/>
      <c r="J30" s="135"/>
      <c r="K30"/>
    </row>
    <row r="31" spans="1:11">
      <c r="A31" s="135" t="s">
        <v>670</v>
      </c>
      <c r="B31" s="135"/>
      <c r="C31" s="152" t="s">
        <v>204</v>
      </c>
      <c r="D31" s="135"/>
      <c r="E31" s="142">
        <v>25000</v>
      </c>
      <c r="F31" s="142">
        <v>0</v>
      </c>
      <c r="G31" s="142">
        <v>9003</v>
      </c>
      <c r="H31" s="142">
        <f>(G31/24)*26</f>
        <v>9753.25</v>
      </c>
      <c r="I31" s="142">
        <v>25000</v>
      </c>
      <c r="J31" s="142"/>
      <c r="K31"/>
    </row>
    <row r="32" spans="1:11" s="3" customFormat="1" ht="15.75" thickBot="1">
      <c r="A32" s="138"/>
      <c r="B32" s="138"/>
      <c r="C32" s="151" t="s">
        <v>825</v>
      </c>
      <c r="D32" s="138"/>
      <c r="E32" s="148">
        <f>SUM(E31:E31)</f>
        <v>25000</v>
      </c>
      <c r="F32" s="148">
        <v>0</v>
      </c>
      <c r="G32" s="148">
        <f>SUM(G31:G31)</f>
        <v>9003</v>
      </c>
      <c r="H32" s="148">
        <f>SUM(H31:H31)</f>
        <v>9753.25</v>
      </c>
      <c r="I32" s="148">
        <f>SUM(I31:I31)</f>
        <v>25000</v>
      </c>
      <c r="J32" s="149"/>
    </row>
    <row r="33" spans="1:11" ht="15.75" thickTop="1">
      <c r="A33" s="135"/>
      <c r="B33" s="135"/>
      <c r="C33" s="135"/>
      <c r="D33" s="135"/>
      <c r="E33" s="141"/>
      <c r="F33" s="141"/>
      <c r="G33" s="141"/>
      <c r="H33" s="141"/>
      <c r="I33" s="141"/>
      <c r="J33" s="141"/>
      <c r="K33"/>
    </row>
    <row r="34" spans="1:11">
      <c r="A34" s="135"/>
      <c r="B34" s="135"/>
      <c r="C34" s="151" t="s">
        <v>205</v>
      </c>
      <c r="D34" s="135"/>
      <c r="E34" s="141"/>
      <c r="F34" s="141"/>
      <c r="G34" s="141"/>
      <c r="H34" s="141"/>
      <c r="I34" s="141"/>
      <c r="J34" s="141"/>
      <c r="K34"/>
    </row>
    <row r="35" spans="1:11">
      <c r="A35" s="135" t="s">
        <v>671</v>
      </c>
      <c r="B35" s="135"/>
      <c r="C35" s="152" t="s">
        <v>215</v>
      </c>
      <c r="D35" s="135"/>
      <c r="E35" s="142">
        <v>1913</v>
      </c>
      <c r="F35" s="142">
        <v>0</v>
      </c>
      <c r="G35" s="142">
        <v>688.79</v>
      </c>
      <c r="H35" s="142">
        <f>H32*0.0765</f>
        <v>746.12362499999995</v>
      </c>
      <c r="I35" s="142">
        <f>I32*0.0765</f>
        <v>1912.5</v>
      </c>
      <c r="J35" s="142"/>
      <c r="K35"/>
    </row>
    <row r="36" spans="1:11" s="3" customFormat="1" ht="15.75" thickBot="1">
      <c r="A36" s="138"/>
      <c r="B36" s="138"/>
      <c r="C36" s="151" t="s">
        <v>829</v>
      </c>
      <c r="D36" s="138"/>
      <c r="E36" s="148">
        <f>SUM(E35)</f>
        <v>1913</v>
      </c>
      <c r="F36" s="148">
        <f t="shared" ref="F36:I36" si="7">SUM(F35)</f>
        <v>0</v>
      </c>
      <c r="G36" s="148">
        <f t="shared" si="7"/>
        <v>688.79</v>
      </c>
      <c r="H36" s="148">
        <f t="shared" si="7"/>
        <v>746.12362499999995</v>
      </c>
      <c r="I36" s="148">
        <f t="shared" si="7"/>
        <v>1912.5</v>
      </c>
      <c r="J36" s="149"/>
    </row>
    <row r="37" spans="1:11" ht="15.75" thickTop="1">
      <c r="A37" s="135"/>
      <c r="B37" s="135"/>
      <c r="C37" s="135"/>
      <c r="D37" s="135"/>
      <c r="E37" s="141"/>
      <c r="F37" s="141"/>
      <c r="G37" s="141"/>
      <c r="H37" s="141"/>
      <c r="I37" s="141"/>
      <c r="J37" s="141"/>
      <c r="K37"/>
    </row>
    <row r="38" spans="1:11" s="3" customFormat="1" ht="15.75" thickBot="1">
      <c r="A38" s="138"/>
      <c r="B38" s="138"/>
      <c r="C38" s="138" t="s">
        <v>814</v>
      </c>
      <c r="D38" s="138"/>
      <c r="E38" s="153">
        <f>E32+E36</f>
        <v>26913</v>
      </c>
      <c r="F38" s="153">
        <f t="shared" ref="F38:I38" si="8">F32+F36</f>
        <v>0</v>
      </c>
      <c r="G38" s="153">
        <f t="shared" si="8"/>
        <v>9691.7900000000009</v>
      </c>
      <c r="H38" s="153">
        <f t="shared" si="8"/>
        <v>10499.373625</v>
      </c>
      <c r="I38" s="153">
        <f t="shared" si="8"/>
        <v>26912.5</v>
      </c>
      <c r="J38" s="154"/>
    </row>
    <row r="39" spans="1:11" ht="15.75" thickTop="1">
      <c r="A39" s="135"/>
      <c r="B39" s="135"/>
      <c r="C39" s="135"/>
      <c r="D39" s="135"/>
      <c r="E39" s="144"/>
      <c r="F39" s="144"/>
      <c r="G39" s="144"/>
      <c r="H39" s="144"/>
      <c r="I39" s="144"/>
      <c r="J39" s="144"/>
      <c r="K39"/>
    </row>
    <row r="40" spans="1:11">
      <c r="A40" s="135"/>
      <c r="B40" s="135"/>
      <c r="C40" s="138" t="s">
        <v>745</v>
      </c>
      <c r="D40" s="135"/>
      <c r="E40" s="141"/>
      <c r="F40" s="141"/>
      <c r="G40" s="141"/>
      <c r="H40" s="141"/>
      <c r="I40" s="141"/>
      <c r="J40" s="141"/>
      <c r="K40"/>
    </row>
    <row r="41" spans="1:11">
      <c r="A41" s="135" t="s">
        <v>1181</v>
      </c>
      <c r="B41" s="135"/>
      <c r="C41" s="145" t="s">
        <v>29</v>
      </c>
      <c r="D41" s="135"/>
      <c r="E41" s="142">
        <v>5500</v>
      </c>
      <c r="F41" s="142">
        <v>0</v>
      </c>
      <c r="G41" s="142">
        <v>3520.91</v>
      </c>
      <c r="H41" s="142">
        <f>(G41/11)*12</f>
        <v>3840.9927272727273</v>
      </c>
      <c r="I41" s="142">
        <v>5500</v>
      </c>
      <c r="J41" s="142"/>
      <c r="K41"/>
    </row>
    <row r="42" spans="1:11">
      <c r="A42" s="135" t="s">
        <v>1182</v>
      </c>
      <c r="B42" s="135"/>
      <c r="C42" s="145" t="s">
        <v>243</v>
      </c>
      <c r="D42" s="135"/>
      <c r="E42" s="142">
        <v>336</v>
      </c>
      <c r="F42" s="142">
        <v>0</v>
      </c>
      <c r="G42" s="142">
        <v>202</v>
      </c>
      <c r="H42" s="142">
        <f t="shared" ref="H42:H50" si="9">(G42/11)*12</f>
        <v>220.36363636363637</v>
      </c>
      <c r="I42" s="142">
        <v>360</v>
      </c>
      <c r="J42" s="142"/>
      <c r="K42"/>
    </row>
    <row r="43" spans="1:11">
      <c r="A43" s="135" t="s">
        <v>1183</v>
      </c>
      <c r="B43" s="135"/>
      <c r="C43" s="145" t="s">
        <v>676</v>
      </c>
      <c r="D43" s="135"/>
      <c r="E43" s="142">
        <v>600</v>
      </c>
      <c r="F43" s="142">
        <v>0</v>
      </c>
      <c r="G43" s="142">
        <v>0</v>
      </c>
      <c r="H43" s="142">
        <f t="shared" si="9"/>
        <v>0</v>
      </c>
      <c r="I43" s="142">
        <v>600</v>
      </c>
      <c r="J43" s="142"/>
      <c r="K43"/>
    </row>
    <row r="44" spans="1:11">
      <c r="A44" s="135" t="s">
        <v>1184</v>
      </c>
      <c r="B44" s="135"/>
      <c r="C44" s="145" t="s">
        <v>677</v>
      </c>
      <c r="D44" s="135"/>
      <c r="E44" s="142">
        <v>0</v>
      </c>
      <c r="F44" s="142">
        <v>0</v>
      </c>
      <c r="G44" s="142">
        <v>0</v>
      </c>
      <c r="H44" s="142">
        <f t="shared" si="9"/>
        <v>0</v>
      </c>
      <c r="I44" s="142">
        <v>0</v>
      </c>
      <c r="J44" s="142"/>
      <c r="K44"/>
    </row>
    <row r="45" spans="1:11">
      <c r="A45" s="135" t="s">
        <v>672</v>
      </c>
      <c r="B45" s="135"/>
      <c r="C45" s="145" t="s">
        <v>27</v>
      </c>
      <c r="D45" s="135"/>
      <c r="E45" s="142">
        <v>6000</v>
      </c>
      <c r="F45" s="142">
        <v>0</v>
      </c>
      <c r="G45" s="142">
        <v>2589.34</v>
      </c>
      <c r="H45" s="142">
        <f t="shared" si="9"/>
        <v>2824.7345454545457</v>
      </c>
      <c r="I45" s="142">
        <v>6000</v>
      </c>
      <c r="J45" s="142"/>
      <c r="K45"/>
    </row>
    <row r="46" spans="1:11">
      <c r="A46" s="135" t="s">
        <v>1185</v>
      </c>
      <c r="B46" s="135"/>
      <c r="C46" s="145" t="s">
        <v>1186</v>
      </c>
      <c r="D46" s="135"/>
      <c r="E46" s="142">
        <v>2000</v>
      </c>
      <c r="F46" s="142">
        <v>0</v>
      </c>
      <c r="G46" s="142">
        <v>1889.62</v>
      </c>
      <c r="H46" s="142">
        <f t="shared" si="9"/>
        <v>2061.4036363636365</v>
      </c>
      <c r="I46" s="142">
        <v>2125</v>
      </c>
      <c r="J46" s="142"/>
      <c r="K46"/>
    </row>
    <row r="47" spans="1:11">
      <c r="A47" s="135" t="s">
        <v>673</v>
      </c>
      <c r="B47" s="135"/>
      <c r="C47" s="145" t="s">
        <v>674</v>
      </c>
      <c r="D47" s="135"/>
      <c r="E47" s="142">
        <v>0</v>
      </c>
      <c r="F47" s="142">
        <v>0</v>
      </c>
      <c r="G47" s="142">
        <v>0</v>
      </c>
      <c r="H47" s="142">
        <f t="shared" si="9"/>
        <v>0</v>
      </c>
      <c r="I47" s="142">
        <v>0</v>
      </c>
      <c r="J47" s="142" t="s">
        <v>1122</v>
      </c>
      <c r="K47"/>
    </row>
    <row r="48" spans="1:11">
      <c r="A48" s="135" t="s">
        <v>675</v>
      </c>
      <c r="B48" s="135"/>
      <c r="C48" s="145" t="s">
        <v>376</v>
      </c>
      <c r="D48" s="135"/>
      <c r="E48" s="142">
        <v>4000</v>
      </c>
      <c r="F48" s="142">
        <v>0</v>
      </c>
      <c r="G48" s="142">
        <v>2261.7600000000002</v>
      </c>
      <c r="H48" s="142">
        <f t="shared" si="9"/>
        <v>2467.3745454545456</v>
      </c>
      <c r="I48" s="142">
        <v>4000</v>
      </c>
      <c r="J48" s="142"/>
      <c r="K48"/>
    </row>
    <row r="49" spans="1:11">
      <c r="A49" s="135" t="s">
        <v>1187</v>
      </c>
      <c r="B49" s="135"/>
      <c r="C49" s="145" t="s">
        <v>28</v>
      </c>
      <c r="D49" s="135"/>
      <c r="E49" s="142">
        <v>1200</v>
      </c>
      <c r="F49" s="142">
        <v>0</v>
      </c>
      <c r="G49" s="142">
        <v>934.72</v>
      </c>
      <c r="H49" s="142">
        <f t="shared" si="9"/>
        <v>1019.6945454545455</v>
      </c>
      <c r="I49" s="142">
        <v>1050</v>
      </c>
      <c r="J49" s="142"/>
      <c r="K49"/>
    </row>
    <row r="50" spans="1:11">
      <c r="A50" s="135" t="s">
        <v>1188</v>
      </c>
      <c r="B50" s="135"/>
      <c r="C50" s="145" t="s">
        <v>678</v>
      </c>
      <c r="D50" s="135"/>
      <c r="E50" s="142">
        <v>2000</v>
      </c>
      <c r="F50" s="142">
        <v>0</v>
      </c>
      <c r="G50" s="142">
        <v>800</v>
      </c>
      <c r="H50" s="142">
        <f t="shared" si="9"/>
        <v>872.72727272727275</v>
      </c>
      <c r="I50" s="142">
        <v>2000</v>
      </c>
      <c r="J50" s="142"/>
      <c r="K50"/>
    </row>
    <row r="51" spans="1:11" s="3" customFormat="1" ht="15.75" thickBot="1">
      <c r="A51" s="138"/>
      <c r="B51" s="138"/>
      <c r="C51" s="138" t="s">
        <v>832</v>
      </c>
      <c r="D51" s="138"/>
      <c r="E51" s="148">
        <f>SUM(E41:E50)</f>
        <v>21636</v>
      </c>
      <c r="F51" s="148">
        <f t="shared" ref="F51:I51" si="10">SUM(F41:F50)</f>
        <v>0</v>
      </c>
      <c r="G51" s="148">
        <f t="shared" si="10"/>
        <v>12198.349999999999</v>
      </c>
      <c r="H51" s="148">
        <f t="shared" si="10"/>
        <v>13307.290909090911</v>
      </c>
      <c r="I51" s="148">
        <f t="shared" si="10"/>
        <v>21635</v>
      </c>
      <c r="J51" s="149"/>
    </row>
    <row r="52" spans="1:11" ht="15.75" thickTop="1">
      <c r="A52" s="135"/>
      <c r="B52" s="135"/>
      <c r="C52" s="135"/>
      <c r="D52" s="135"/>
      <c r="E52" s="141"/>
      <c r="F52" s="141"/>
      <c r="G52" s="141"/>
      <c r="H52" s="141"/>
      <c r="I52" s="141"/>
      <c r="J52" s="141"/>
      <c r="K52"/>
    </row>
    <row r="53" spans="1:11">
      <c r="A53" s="135"/>
      <c r="B53" s="135"/>
      <c r="C53" s="138" t="s">
        <v>954</v>
      </c>
      <c r="D53" s="135"/>
      <c r="E53" s="141"/>
      <c r="F53" s="141"/>
      <c r="G53" s="141"/>
      <c r="H53" s="141"/>
      <c r="I53" s="141"/>
      <c r="J53" s="141"/>
      <c r="K53"/>
    </row>
    <row r="54" spans="1:11">
      <c r="A54" s="135" t="s">
        <v>680</v>
      </c>
      <c r="B54" s="135"/>
      <c r="C54" s="145" t="s">
        <v>271</v>
      </c>
      <c r="D54" s="135"/>
      <c r="E54" s="142">
        <v>700</v>
      </c>
      <c r="F54" s="142">
        <v>0</v>
      </c>
      <c r="G54" s="142">
        <v>75.95</v>
      </c>
      <c r="H54" s="142">
        <f>(G54/11)*12</f>
        <v>82.854545454545459</v>
      </c>
      <c r="I54" s="142">
        <v>500</v>
      </c>
      <c r="J54" s="142"/>
      <c r="K54"/>
    </row>
    <row r="55" spans="1:11">
      <c r="A55" s="135" t="s">
        <v>681</v>
      </c>
      <c r="B55" s="135"/>
      <c r="C55" s="145" t="s">
        <v>492</v>
      </c>
      <c r="D55" s="135"/>
      <c r="E55" s="142">
        <v>1800</v>
      </c>
      <c r="F55" s="142">
        <v>0</v>
      </c>
      <c r="G55" s="142">
        <v>759.5</v>
      </c>
      <c r="H55" s="142">
        <f>(G55/11)*12</f>
        <v>828.5454545454545</v>
      </c>
      <c r="I55" s="142">
        <v>1500</v>
      </c>
      <c r="J55" s="142"/>
      <c r="K55"/>
    </row>
    <row r="56" spans="1:11" s="3" customFormat="1" ht="15.75" thickBot="1">
      <c r="A56" s="138"/>
      <c r="B56" s="138"/>
      <c r="C56" s="138" t="s">
        <v>817</v>
      </c>
      <c r="D56" s="138"/>
      <c r="E56" s="148">
        <f>SUM(E54:E55)</f>
        <v>2500</v>
      </c>
      <c r="F56" s="148">
        <f t="shared" ref="F56:I56" si="11">SUM(F54:F55)</f>
        <v>0</v>
      </c>
      <c r="G56" s="148">
        <f t="shared" si="11"/>
        <v>835.45</v>
      </c>
      <c r="H56" s="148">
        <f t="shared" si="11"/>
        <v>911.4</v>
      </c>
      <c r="I56" s="148">
        <f t="shared" si="11"/>
        <v>2000</v>
      </c>
      <c r="J56" s="149"/>
    </row>
    <row r="57" spans="1:11" ht="15.75" thickTop="1">
      <c r="A57" s="135"/>
      <c r="B57" s="135"/>
      <c r="C57" s="135"/>
      <c r="D57" s="135"/>
      <c r="E57" s="141"/>
      <c r="F57" s="141"/>
      <c r="G57" s="141"/>
      <c r="H57" s="141"/>
      <c r="I57" s="141"/>
      <c r="J57" s="141"/>
      <c r="K57"/>
    </row>
    <row r="58" spans="1:11">
      <c r="A58" s="135"/>
      <c r="B58" s="135"/>
      <c r="C58" s="138" t="s">
        <v>223</v>
      </c>
      <c r="D58" s="135"/>
      <c r="E58" s="141"/>
      <c r="F58" s="141"/>
      <c r="G58" s="141"/>
      <c r="H58" s="141"/>
      <c r="I58" s="141"/>
      <c r="J58" s="141"/>
      <c r="K58"/>
    </row>
    <row r="59" spans="1:11">
      <c r="A59" s="135" t="s">
        <v>1214</v>
      </c>
      <c r="B59" s="135"/>
      <c r="C59" s="145" t="s">
        <v>1215</v>
      </c>
      <c r="D59" s="135"/>
      <c r="E59" s="142">
        <v>0</v>
      </c>
      <c r="F59" s="142">
        <v>0</v>
      </c>
      <c r="G59" s="142">
        <v>0</v>
      </c>
      <c r="H59" s="142">
        <f>(G59/11)*12</f>
        <v>0</v>
      </c>
      <c r="I59" s="142">
        <v>250</v>
      </c>
      <c r="J59" s="141"/>
      <c r="K59"/>
    </row>
    <row r="60" spans="1:11">
      <c r="A60" s="135" t="s">
        <v>1190</v>
      </c>
      <c r="B60" s="135"/>
      <c r="C60" s="145" t="s">
        <v>1191</v>
      </c>
      <c r="D60" s="135"/>
      <c r="E60" s="142">
        <v>600</v>
      </c>
      <c r="F60" s="142">
        <v>0</v>
      </c>
      <c r="G60" s="142">
        <v>83.1</v>
      </c>
      <c r="H60" s="142">
        <f>(G60/11)*12</f>
        <v>90.654545454545442</v>
      </c>
      <c r="I60" s="142">
        <v>300</v>
      </c>
      <c r="J60" s="142"/>
      <c r="K60"/>
    </row>
    <row r="61" spans="1:11" s="3" customFormat="1" ht="15.75" thickBot="1">
      <c r="A61" s="138"/>
      <c r="B61" s="138"/>
      <c r="C61" s="138" t="s">
        <v>822</v>
      </c>
      <c r="D61" s="138"/>
      <c r="E61" s="148">
        <f>SUM(E59:E60)</f>
        <v>600</v>
      </c>
      <c r="F61" s="148">
        <f t="shared" ref="F61:I61" si="12">SUM(F59:F60)</f>
        <v>0</v>
      </c>
      <c r="G61" s="148">
        <f t="shared" si="12"/>
        <v>83.1</v>
      </c>
      <c r="H61" s="148">
        <f t="shared" si="12"/>
        <v>90.654545454545442</v>
      </c>
      <c r="I61" s="148">
        <f t="shared" si="12"/>
        <v>550</v>
      </c>
      <c r="J61" s="149"/>
    </row>
    <row r="62" spans="1:11" ht="15.75" thickTop="1">
      <c r="A62" s="135"/>
      <c r="B62" s="135"/>
      <c r="C62" s="135"/>
      <c r="D62" s="135"/>
      <c r="E62" s="141"/>
      <c r="F62" s="141"/>
      <c r="G62" s="141"/>
      <c r="H62" s="141"/>
      <c r="I62" s="141"/>
      <c r="J62" s="141"/>
      <c r="K62"/>
    </row>
    <row r="63" spans="1:11">
      <c r="A63" s="135"/>
      <c r="B63" s="135"/>
      <c r="C63" s="138" t="s">
        <v>1114</v>
      </c>
      <c r="D63" s="135"/>
      <c r="E63" s="141"/>
      <c r="F63" s="141"/>
      <c r="G63" s="141"/>
      <c r="H63" s="141"/>
      <c r="I63" s="141"/>
      <c r="J63" s="141"/>
      <c r="K63"/>
    </row>
    <row r="64" spans="1:11">
      <c r="A64" s="135" t="s">
        <v>1192</v>
      </c>
      <c r="B64" s="135"/>
      <c r="C64" s="145" t="s">
        <v>403</v>
      </c>
      <c r="D64" s="135"/>
      <c r="E64" s="142">
        <v>14000</v>
      </c>
      <c r="F64" s="142">
        <v>0</v>
      </c>
      <c r="G64" s="142">
        <v>3769.62</v>
      </c>
      <c r="H64" s="142">
        <f>(G64/11)*12</f>
        <v>4112.312727272727</v>
      </c>
      <c r="I64" s="142">
        <v>12000</v>
      </c>
      <c r="J64" s="142"/>
      <c r="K64"/>
    </row>
    <row r="65" spans="1:11">
      <c r="A65" s="135" t="s">
        <v>1193</v>
      </c>
      <c r="B65" s="135"/>
      <c r="C65" s="145" t="s">
        <v>679</v>
      </c>
      <c r="D65" s="135"/>
      <c r="E65" s="142">
        <v>33500</v>
      </c>
      <c r="F65" s="142">
        <v>0</v>
      </c>
      <c r="G65" s="142">
        <v>7028.17</v>
      </c>
      <c r="H65" s="142">
        <f>(G65/11)*12</f>
        <v>7667.0945454545454</v>
      </c>
      <c r="I65" s="142">
        <v>30000</v>
      </c>
      <c r="J65" s="142"/>
      <c r="K65"/>
    </row>
    <row r="66" spans="1:11">
      <c r="A66" s="135" t="s">
        <v>1194</v>
      </c>
      <c r="B66" s="135"/>
      <c r="C66" s="145" t="s">
        <v>663</v>
      </c>
      <c r="D66" s="135"/>
      <c r="E66" s="142">
        <v>3500</v>
      </c>
      <c r="F66" s="142">
        <v>0</v>
      </c>
      <c r="G66" s="142">
        <v>0</v>
      </c>
      <c r="H66" s="142">
        <f>(G66/11)*12</f>
        <v>0</v>
      </c>
      <c r="I66" s="142">
        <v>3500</v>
      </c>
      <c r="J66" s="142"/>
      <c r="K66"/>
    </row>
    <row r="67" spans="1:11">
      <c r="A67" s="135" t="s">
        <v>1189</v>
      </c>
      <c r="B67" s="135"/>
      <c r="C67" s="145" t="s">
        <v>39</v>
      </c>
      <c r="D67" s="135"/>
      <c r="E67" s="142">
        <v>3000</v>
      </c>
      <c r="F67" s="142">
        <v>0</v>
      </c>
      <c r="G67" s="142">
        <v>1285.32</v>
      </c>
      <c r="H67" s="142">
        <f t="shared" ref="H67" si="13">(G67/11)*12</f>
        <v>1402.1672727272726</v>
      </c>
      <c r="I67" s="142">
        <v>3000</v>
      </c>
      <c r="J67" s="142"/>
      <c r="K67"/>
    </row>
    <row r="68" spans="1:11" s="3" customFormat="1" ht="15.75" thickBot="1">
      <c r="A68" s="138"/>
      <c r="B68" s="138"/>
      <c r="C68" s="138" t="s">
        <v>1158</v>
      </c>
      <c r="D68" s="138"/>
      <c r="E68" s="148">
        <f>SUM(E64:E67)</f>
        <v>54000</v>
      </c>
      <c r="F68" s="148">
        <f t="shared" ref="F68:I68" si="14">SUM(F64:F67)</f>
        <v>0</v>
      </c>
      <c r="G68" s="148">
        <f t="shared" si="14"/>
        <v>12083.11</v>
      </c>
      <c r="H68" s="148">
        <f t="shared" si="14"/>
        <v>13181.574545454545</v>
      </c>
      <c r="I68" s="148">
        <f t="shared" si="14"/>
        <v>48500</v>
      </c>
      <c r="J68" s="149"/>
    </row>
    <row r="69" spans="1:11" ht="15.75" thickTop="1">
      <c r="A69" s="135"/>
      <c r="B69" s="135"/>
      <c r="C69" s="135"/>
      <c r="D69" s="135"/>
      <c r="E69" s="141"/>
      <c r="F69" s="141"/>
      <c r="G69" s="141"/>
      <c r="H69" s="141"/>
      <c r="I69" s="141"/>
      <c r="J69" s="141"/>
      <c r="K69"/>
    </row>
    <row r="70" spans="1:11">
      <c r="A70" s="135"/>
      <c r="B70" s="135"/>
      <c r="C70" s="138" t="s">
        <v>943</v>
      </c>
      <c r="D70" s="135"/>
      <c r="E70" s="141"/>
      <c r="F70" s="141"/>
      <c r="G70" s="141"/>
      <c r="H70" s="141"/>
      <c r="I70" s="141"/>
      <c r="J70" s="141"/>
      <c r="K70"/>
    </row>
    <row r="71" spans="1:11">
      <c r="A71" s="135" t="s">
        <v>1195</v>
      </c>
      <c r="B71" s="135"/>
      <c r="C71" s="145" t="s">
        <v>310</v>
      </c>
      <c r="D71" s="135"/>
      <c r="E71" s="142">
        <v>0</v>
      </c>
      <c r="F71" s="142">
        <v>0</v>
      </c>
      <c r="G71" s="142">
        <v>0</v>
      </c>
      <c r="H71" s="142">
        <v>0</v>
      </c>
      <c r="I71" s="142">
        <v>0</v>
      </c>
      <c r="J71" s="142"/>
      <c r="K71"/>
    </row>
    <row r="72" spans="1:11" s="3" customFormat="1" ht="15.75" thickBot="1">
      <c r="A72" s="138"/>
      <c r="B72" s="138"/>
      <c r="C72" s="138" t="s">
        <v>841</v>
      </c>
      <c r="D72" s="138"/>
      <c r="E72" s="148">
        <f>SUM(E71:E71)</f>
        <v>0</v>
      </c>
      <c r="F72" s="148">
        <f>SUM(F71:F71)</f>
        <v>0</v>
      </c>
      <c r="G72" s="148">
        <f>SUM(G71:G71)</f>
        <v>0</v>
      </c>
      <c r="H72" s="148">
        <f>SUM(H71:H71)</f>
        <v>0</v>
      </c>
      <c r="I72" s="148">
        <f>SUM(I71:I71)</f>
        <v>0</v>
      </c>
      <c r="J72" s="149"/>
    </row>
    <row r="73" spans="1:11" ht="15.75" thickTop="1">
      <c r="A73" s="135"/>
      <c r="B73" s="135"/>
      <c r="C73" s="135"/>
      <c r="D73" s="135"/>
      <c r="E73" s="141"/>
      <c r="F73" s="141"/>
      <c r="G73" s="141"/>
      <c r="H73" s="141"/>
      <c r="I73" s="141"/>
      <c r="J73" s="141"/>
      <c r="K73"/>
    </row>
    <row r="74" spans="1:11" s="3" customFormat="1" ht="15.75" thickBot="1">
      <c r="A74" s="138" t="s">
        <v>955</v>
      </c>
      <c r="B74" s="138"/>
      <c r="C74" s="138"/>
      <c r="D74" s="138"/>
      <c r="E74" s="153">
        <f>E38+E51+E56+E61+E68+E72</f>
        <v>105649</v>
      </c>
      <c r="F74" s="153">
        <f t="shared" ref="F74:I74" si="15">F38+F51+F56+F61+F68+F72</f>
        <v>0</v>
      </c>
      <c r="G74" s="153">
        <f t="shared" si="15"/>
        <v>34891.800000000003</v>
      </c>
      <c r="H74" s="153">
        <f t="shared" si="15"/>
        <v>37990.293624999998</v>
      </c>
      <c r="I74" s="153">
        <f t="shared" si="15"/>
        <v>99597.5</v>
      </c>
      <c r="J74" s="150"/>
    </row>
    <row r="75" spans="1:11" ht="15.75" thickTop="1">
      <c r="A75" s="135"/>
      <c r="B75" s="135"/>
      <c r="C75" s="135"/>
      <c r="D75" s="135"/>
      <c r="E75" s="141"/>
      <c r="F75" s="141"/>
      <c r="G75" s="141"/>
      <c r="H75" s="141"/>
      <c r="I75" s="141"/>
      <c r="J75" s="141"/>
      <c r="K75"/>
    </row>
  </sheetData>
  <mergeCells count="1">
    <mergeCell ref="A1:D1"/>
  </mergeCells>
  <pageMargins left="0.7" right="0.7" top="0.75" bottom="0.75" header="0.3" footer="0.3"/>
  <pageSetup scale="79" fitToHeight="0" orientation="landscape" r:id="rId1"/>
  <headerFooter>
    <oddFooter>&amp;L&amp;D&amp;CWorksheet
Page &amp;P&amp;R&amp;T</oddFooter>
  </headerFooter>
  <rowBreaks count="2" manualBreakCount="2">
    <brk id="25" max="16383" man="1"/>
    <brk id="6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34"/>
  <sheetViews>
    <sheetView workbookViewId="0">
      <selection activeCell="G15" sqref="G15"/>
    </sheetView>
  </sheetViews>
  <sheetFormatPr defaultRowHeight="15"/>
  <cols>
    <col min="1" max="1" width="35.140625" customWidth="1"/>
    <col min="2" max="5" width="14.28515625" style="1" customWidth="1"/>
    <col min="6" max="6" width="13.28515625" style="1" customWidth="1"/>
    <col min="7" max="7" width="14.28515625" style="1" customWidth="1"/>
  </cols>
  <sheetData>
    <row r="1" spans="1:7">
      <c r="B1" s="30" t="s">
        <v>41</v>
      </c>
      <c r="C1" s="24"/>
      <c r="D1" s="24"/>
      <c r="E1" s="24"/>
      <c r="F1" s="24"/>
      <c r="G1" s="24"/>
    </row>
    <row r="2" spans="1:7">
      <c r="B2" s="30" t="s">
        <v>688</v>
      </c>
      <c r="C2" s="24"/>
      <c r="D2" s="24"/>
      <c r="E2" s="24"/>
      <c r="F2" s="24"/>
      <c r="G2" s="24"/>
    </row>
    <row r="3" spans="1:7">
      <c r="A3" s="3" t="s">
        <v>13</v>
      </c>
      <c r="B3" s="2" t="s">
        <v>13</v>
      </c>
      <c r="C3" s="2" t="s">
        <v>13</v>
      </c>
      <c r="D3" s="2"/>
      <c r="E3" s="2" t="s">
        <v>13</v>
      </c>
      <c r="F3" s="2" t="s">
        <v>13</v>
      </c>
      <c r="G3" s="2" t="s">
        <v>13</v>
      </c>
    </row>
    <row r="4" spans="1:7">
      <c r="A4" s="3" t="s">
        <v>19</v>
      </c>
      <c r="B4" s="2"/>
      <c r="C4" s="2"/>
      <c r="D4" s="2"/>
      <c r="E4" s="2"/>
      <c r="F4" s="2"/>
      <c r="G4" s="2"/>
    </row>
    <row r="5" spans="1:7">
      <c r="A5" s="3"/>
      <c r="B5" s="10">
        <v>2019</v>
      </c>
      <c r="C5" s="10">
        <v>2020</v>
      </c>
      <c r="D5" s="10">
        <v>2020</v>
      </c>
      <c r="E5" s="10">
        <v>2020</v>
      </c>
      <c r="F5" s="10">
        <v>2020</v>
      </c>
      <c r="G5" s="10">
        <v>2021</v>
      </c>
    </row>
    <row r="6" spans="1:7">
      <c r="A6" s="15" t="s">
        <v>0</v>
      </c>
      <c r="B6" s="13" t="s">
        <v>1</v>
      </c>
      <c r="C6" s="13" t="s">
        <v>2</v>
      </c>
      <c r="D6" s="13" t="s">
        <v>66</v>
      </c>
      <c r="E6" s="13" t="s">
        <v>1048</v>
      </c>
      <c r="F6" s="13" t="s">
        <v>997</v>
      </c>
      <c r="G6" s="13" t="s">
        <v>18</v>
      </c>
    </row>
    <row r="7" spans="1:7">
      <c r="A7" s="28" t="s">
        <v>158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</row>
    <row r="8" spans="1:7">
      <c r="A8" s="28" t="s">
        <v>689</v>
      </c>
      <c r="B8" s="29">
        <v>10950</v>
      </c>
      <c r="C8" s="29">
        <v>0</v>
      </c>
      <c r="D8" s="29">
        <v>10000</v>
      </c>
      <c r="E8" s="29">
        <v>6600</v>
      </c>
      <c r="F8" s="29">
        <f>(E8/11)*12</f>
        <v>7200</v>
      </c>
      <c r="G8" s="29">
        <v>9000</v>
      </c>
    </row>
    <row r="9" spans="1:7">
      <c r="A9" t="s">
        <v>690</v>
      </c>
      <c r="B9" s="26">
        <v>5.32</v>
      </c>
      <c r="C9" s="26">
        <v>0</v>
      </c>
      <c r="D9" s="26">
        <v>0</v>
      </c>
      <c r="E9" s="26">
        <v>4.88</v>
      </c>
      <c r="F9" s="29">
        <f>(E9/11)*12</f>
        <v>5.3236363636363633</v>
      </c>
      <c r="G9" s="26">
        <v>5</v>
      </c>
    </row>
    <row r="10" spans="1:7" ht="15.75" thickBot="1">
      <c r="A10" s="3" t="s">
        <v>4</v>
      </c>
      <c r="B10" s="12">
        <f>SUM(B7:B9)</f>
        <v>10955.32</v>
      </c>
      <c r="C10" s="12">
        <f t="shared" ref="C10:G10" si="0">SUM(C7:C9)</f>
        <v>0</v>
      </c>
      <c r="D10" s="12">
        <f t="shared" si="0"/>
        <v>10000</v>
      </c>
      <c r="E10" s="12">
        <f t="shared" si="0"/>
        <v>6604.88</v>
      </c>
      <c r="F10" s="12">
        <f t="shared" si="0"/>
        <v>7205.3236363636361</v>
      </c>
      <c r="G10" s="12">
        <f t="shared" si="0"/>
        <v>9005</v>
      </c>
    </row>
    <row r="11" spans="1:7" ht="15.75" thickTop="1">
      <c r="B11" s="14" t="s">
        <v>13</v>
      </c>
      <c r="C11" s="14" t="s">
        <v>13</v>
      </c>
      <c r="D11" s="14"/>
      <c r="E11" s="14" t="s">
        <v>13</v>
      </c>
      <c r="F11" s="14" t="s">
        <v>13</v>
      </c>
      <c r="G11" s="14" t="s">
        <v>13</v>
      </c>
    </row>
    <row r="12" spans="1:7">
      <c r="A12" s="3" t="s">
        <v>20</v>
      </c>
      <c r="B12" s="14"/>
      <c r="C12" s="14"/>
      <c r="D12" s="14"/>
      <c r="E12" s="14"/>
      <c r="F12" s="14"/>
      <c r="G12" s="14"/>
    </row>
    <row r="13" spans="1:7">
      <c r="B13" s="5"/>
      <c r="C13" s="5"/>
      <c r="D13" s="5"/>
      <c r="E13" s="5"/>
      <c r="F13" s="5"/>
      <c r="G13" s="5"/>
    </row>
    <row r="14" spans="1:7">
      <c r="A14" t="s">
        <v>30</v>
      </c>
      <c r="B14" s="8">
        <f>185.18+2420.7+0</f>
        <v>2605.8799999999997</v>
      </c>
      <c r="C14" s="5">
        <v>0</v>
      </c>
      <c r="D14" s="5">
        <f>450+2500+12480</f>
        <v>15430</v>
      </c>
      <c r="E14" s="5">
        <f>2117.7+9120+859.64</f>
        <v>12097.34</v>
      </c>
      <c r="F14" s="29">
        <f>(E14/24)*26</f>
        <v>13105.451666666668</v>
      </c>
      <c r="G14" s="5">
        <v>30000</v>
      </c>
    </row>
    <row r="15" spans="1:7">
      <c r="A15" t="s">
        <v>210</v>
      </c>
      <c r="B15" s="8">
        <v>330</v>
      </c>
      <c r="C15" s="5">
        <v>0</v>
      </c>
      <c r="D15" s="5">
        <v>300</v>
      </c>
      <c r="E15" s="5">
        <f>880+740+921.84+1092.69+744.28</f>
        <v>4378.8100000000004</v>
      </c>
      <c r="F15" s="29">
        <f>(E15/11)*12</f>
        <v>4776.8836363636365</v>
      </c>
      <c r="G15" s="5">
        <f>360+360+1000+1200+800</f>
        <v>3720</v>
      </c>
    </row>
    <row r="16" spans="1:7">
      <c r="A16" t="s">
        <v>212</v>
      </c>
      <c r="B16" s="8">
        <v>0</v>
      </c>
      <c r="C16" s="5">
        <v>0</v>
      </c>
      <c r="D16" s="5">
        <v>0</v>
      </c>
      <c r="E16" s="5">
        <v>71.319999999999993</v>
      </c>
      <c r="F16" s="29">
        <f>(E16/11)*12</f>
        <v>77.803636363636357</v>
      </c>
      <c r="G16" s="5">
        <v>100</v>
      </c>
    </row>
    <row r="17" spans="1:7">
      <c r="A17" t="s">
        <v>336</v>
      </c>
      <c r="B17" s="8">
        <v>4786.08</v>
      </c>
      <c r="C17" s="5">
        <v>0</v>
      </c>
      <c r="D17" s="5">
        <v>4500</v>
      </c>
      <c r="E17" s="5">
        <v>0</v>
      </c>
      <c r="F17" s="29">
        <f>(E17/11)*12</f>
        <v>0</v>
      </c>
      <c r="G17" s="5">
        <v>0</v>
      </c>
    </row>
    <row r="18" spans="1:7" ht="15.75" thickBot="1">
      <c r="A18" s="3" t="s">
        <v>5</v>
      </c>
      <c r="B18" s="12">
        <f>SUM(B14:B17)</f>
        <v>7721.9599999999991</v>
      </c>
      <c r="C18" s="12">
        <f t="shared" ref="C18:G18" si="1">SUM(C14:C17)</f>
        <v>0</v>
      </c>
      <c r="D18" s="12">
        <f t="shared" si="1"/>
        <v>20230</v>
      </c>
      <c r="E18" s="12">
        <f t="shared" si="1"/>
        <v>16547.47</v>
      </c>
      <c r="F18" s="12">
        <f t="shared" si="1"/>
        <v>17960.138939393939</v>
      </c>
      <c r="G18" s="12">
        <f t="shared" si="1"/>
        <v>33820</v>
      </c>
    </row>
    <row r="19" spans="1:7" ht="15.75" thickTop="1"/>
    <row r="20" spans="1:7" ht="30">
      <c r="A20" s="4" t="s">
        <v>6</v>
      </c>
      <c r="B20" s="6">
        <f>B10-B18</f>
        <v>3233.3600000000006</v>
      </c>
      <c r="C20" s="6">
        <f t="shared" ref="C20:G20" si="2">C10-C18</f>
        <v>0</v>
      </c>
      <c r="D20" s="6">
        <f t="shared" si="2"/>
        <v>-10230</v>
      </c>
      <c r="E20" s="6">
        <f t="shared" si="2"/>
        <v>-9942.59</v>
      </c>
      <c r="F20" s="6">
        <f t="shared" si="2"/>
        <v>-10754.815303030304</v>
      </c>
      <c r="G20" s="6">
        <f t="shared" si="2"/>
        <v>-24815</v>
      </c>
    </row>
    <row r="21" spans="1:7">
      <c r="B21" s="6"/>
      <c r="C21" s="6"/>
      <c r="D21" s="6"/>
      <c r="E21" s="6"/>
      <c r="F21" s="6"/>
      <c r="G21" s="6"/>
    </row>
    <row r="22" spans="1:7">
      <c r="A22" t="s">
        <v>7</v>
      </c>
      <c r="B22" s="6"/>
      <c r="C22" s="6"/>
      <c r="D22" s="6"/>
      <c r="E22" s="6"/>
      <c r="F22" s="6"/>
      <c r="G22" s="6"/>
    </row>
    <row r="23" spans="1:7">
      <c r="A23" t="s">
        <v>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>
      <c r="A24" t="s">
        <v>10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ht="15.75" thickBot="1">
      <c r="A25" t="s">
        <v>11</v>
      </c>
      <c r="B25" s="7">
        <f t="shared" ref="B25:G25" si="3">SUM(B23:B24)</f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</row>
    <row r="26" spans="1:7" ht="15.75" thickTop="1">
      <c r="B26" s="6"/>
      <c r="C26" s="6"/>
      <c r="D26" s="6"/>
      <c r="E26" s="6"/>
      <c r="F26" s="6"/>
      <c r="G26" s="6"/>
    </row>
    <row r="27" spans="1:7" ht="45">
      <c r="A27" s="4" t="s">
        <v>12</v>
      </c>
      <c r="B27" s="5">
        <f t="shared" ref="B27:G27" si="4">B20+B25</f>
        <v>3233.3600000000006</v>
      </c>
      <c r="C27" s="5">
        <f t="shared" si="4"/>
        <v>0</v>
      </c>
      <c r="D27" s="5">
        <f t="shared" si="4"/>
        <v>-10230</v>
      </c>
      <c r="E27" s="5">
        <f t="shared" si="4"/>
        <v>-9942.59</v>
      </c>
      <c r="F27" s="5">
        <f t="shared" si="4"/>
        <v>-10754.815303030304</v>
      </c>
      <c r="G27" s="5">
        <f t="shared" si="4"/>
        <v>-24815</v>
      </c>
    </row>
    <row r="28" spans="1:7">
      <c r="B28" s="6"/>
      <c r="C28" s="6"/>
      <c r="D28" s="6"/>
      <c r="E28" s="6"/>
      <c r="F28" s="6"/>
      <c r="G28" s="6"/>
    </row>
    <row r="29" spans="1:7">
      <c r="A29" t="s">
        <v>14</v>
      </c>
      <c r="B29" s="5">
        <v>40891.49</v>
      </c>
      <c r="C29" s="5">
        <f>B30</f>
        <v>44124.85</v>
      </c>
      <c r="D29" s="5">
        <f>C30</f>
        <v>44124.85</v>
      </c>
      <c r="E29" s="5">
        <f>B30</f>
        <v>44124.85</v>
      </c>
      <c r="F29" s="5">
        <f>B30</f>
        <v>44124.85</v>
      </c>
      <c r="G29" s="5">
        <f>F30</f>
        <v>33370.034696969698</v>
      </c>
    </row>
    <row r="30" spans="1:7">
      <c r="A30" s="3" t="s">
        <v>15</v>
      </c>
      <c r="B30" s="11">
        <f>B27+B29</f>
        <v>44124.85</v>
      </c>
      <c r="C30" s="11">
        <f>C29+C27</f>
        <v>44124.85</v>
      </c>
      <c r="D30" s="11">
        <f>D29+D27</f>
        <v>33894.85</v>
      </c>
      <c r="E30" s="11">
        <f t="shared" ref="E30:G30" si="5">E29+E27</f>
        <v>34182.259999999995</v>
      </c>
      <c r="F30" s="11">
        <f t="shared" si="5"/>
        <v>33370.034696969698</v>
      </c>
      <c r="G30" s="11">
        <f t="shared" si="5"/>
        <v>8555.0346969696984</v>
      </c>
    </row>
    <row r="31" spans="1:7">
      <c r="B31" s="6"/>
      <c r="C31" s="6"/>
      <c r="D31" s="6"/>
      <c r="E31" s="6"/>
      <c r="F31" s="6"/>
      <c r="G31" s="6"/>
    </row>
    <row r="32" spans="1:7">
      <c r="B32"/>
      <c r="C32"/>
      <c r="D32"/>
      <c r="E32"/>
      <c r="F32"/>
      <c r="G32"/>
    </row>
    <row r="34" spans="1:1">
      <c r="A34" t="s">
        <v>13</v>
      </c>
    </row>
  </sheetData>
  <pageMargins left="0.7" right="0.7" top="0.75" bottom="0.75" header="0.3" footer="0.3"/>
  <pageSetup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87"/>
  <sheetViews>
    <sheetView topLeftCell="A166" zoomScale="90" zoomScaleNormal="90" workbookViewId="0">
      <selection activeCell="J200" sqref="J200"/>
    </sheetView>
  </sheetViews>
  <sheetFormatPr defaultRowHeight="15"/>
  <cols>
    <col min="1" max="1" width="13.140625" style="21" customWidth="1"/>
    <col min="2" max="2" width="9.140625" style="21"/>
    <col min="3" max="3" width="38.85546875" style="21" bestFit="1" customWidth="1"/>
    <col min="4" max="4" width="9.140625" style="21"/>
    <col min="5" max="9" width="15.7109375" style="23" customWidth="1"/>
    <col min="10" max="10" width="72.5703125" style="128" bestFit="1" customWidth="1"/>
    <col min="11" max="11" width="30.85546875" style="21" customWidth="1"/>
    <col min="12" max="12" width="10.28515625" customWidth="1"/>
  </cols>
  <sheetData>
    <row r="1" spans="1:11" s="28" customFormat="1">
      <c r="A1" s="203" t="s">
        <v>766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1" s="25" customFormat="1" ht="12.75">
      <c r="A2" s="18" t="s">
        <v>13</v>
      </c>
      <c r="B2" s="156" t="s">
        <v>13</v>
      </c>
      <c r="C2" s="156" t="s">
        <v>13</v>
      </c>
      <c r="D2" s="156"/>
      <c r="E2" s="156" t="s">
        <v>13</v>
      </c>
      <c r="F2" s="44"/>
      <c r="J2" s="157"/>
    </row>
    <row r="3" spans="1:11">
      <c r="E3" s="158">
        <v>2020</v>
      </c>
      <c r="F3" s="158">
        <v>2020</v>
      </c>
      <c r="G3" s="39">
        <v>2020</v>
      </c>
      <c r="H3" s="39">
        <v>2020</v>
      </c>
      <c r="I3" s="159" t="s">
        <v>958</v>
      </c>
      <c r="J3" s="160" t="s">
        <v>35</v>
      </c>
    </row>
    <row r="4" spans="1:11" s="165" customFormat="1">
      <c r="A4" s="161"/>
      <c r="B4" s="161"/>
      <c r="C4" s="161"/>
      <c r="D4" s="161"/>
      <c r="E4" s="162" t="s">
        <v>747</v>
      </c>
      <c r="F4" s="162" t="s">
        <v>748</v>
      </c>
      <c r="G4" s="162" t="s">
        <v>1048</v>
      </c>
      <c r="H4" s="162" t="s">
        <v>789</v>
      </c>
      <c r="I4" s="163" t="s">
        <v>718</v>
      </c>
      <c r="J4" s="164"/>
    </row>
    <row r="5" spans="1:11" s="165" customFormat="1">
      <c r="A5" s="161"/>
      <c r="B5" s="161"/>
      <c r="C5" s="161"/>
      <c r="D5" s="161"/>
      <c r="E5" s="162"/>
      <c r="F5" s="162"/>
      <c r="G5" s="162"/>
      <c r="H5" s="162"/>
      <c r="I5" s="163"/>
      <c r="J5" s="164"/>
    </row>
    <row r="6" spans="1:11">
      <c r="A6" s="202" t="s">
        <v>724</v>
      </c>
      <c r="B6" s="202"/>
      <c r="C6" s="202"/>
      <c r="D6" s="202"/>
      <c r="E6" s="202"/>
      <c r="F6" s="202"/>
      <c r="G6" s="202"/>
      <c r="H6" s="202"/>
      <c r="I6" s="202"/>
      <c r="J6" s="202"/>
      <c r="K6"/>
    </row>
    <row r="7" spans="1:11">
      <c r="A7" s="43"/>
      <c r="B7" s="43"/>
      <c r="C7" s="43"/>
      <c r="D7" s="43"/>
      <c r="E7" s="43"/>
      <c r="F7" s="43"/>
      <c r="G7" s="43"/>
      <c r="H7" s="43"/>
      <c r="I7" s="43"/>
      <c r="J7" s="166"/>
      <c r="K7"/>
    </row>
    <row r="8" spans="1:11">
      <c r="A8" s="201" t="s">
        <v>723</v>
      </c>
      <c r="B8" s="201"/>
      <c r="C8" s="201"/>
      <c r="D8" s="201"/>
      <c r="E8" s="201"/>
      <c r="F8" s="201"/>
      <c r="G8" s="201"/>
      <c r="H8" s="201"/>
      <c r="I8" s="201"/>
      <c r="J8" s="201"/>
      <c r="K8"/>
    </row>
    <row r="9" spans="1:11">
      <c r="A9" s="19" t="s">
        <v>42</v>
      </c>
      <c r="B9" s="19"/>
      <c r="C9" s="19" t="s">
        <v>43</v>
      </c>
      <c r="D9" s="19"/>
      <c r="E9" s="32">
        <v>275000</v>
      </c>
      <c r="F9" s="32">
        <v>0</v>
      </c>
      <c r="G9" s="36">
        <v>276341.37</v>
      </c>
      <c r="H9" s="32">
        <f>(G9/11)*12</f>
        <v>301463.31272727274</v>
      </c>
      <c r="I9" s="32">
        <v>275000</v>
      </c>
      <c r="J9" s="95" t="s">
        <v>44</v>
      </c>
      <c r="K9"/>
    </row>
    <row r="10" spans="1:11">
      <c r="A10" s="19" t="s">
        <v>45</v>
      </c>
      <c r="B10" s="19"/>
      <c r="C10" s="19" t="s">
        <v>46</v>
      </c>
      <c r="D10" s="19"/>
      <c r="E10" s="32">
        <v>60000</v>
      </c>
      <c r="F10" s="32">
        <v>0</v>
      </c>
      <c r="G10" s="36">
        <v>57137.09</v>
      </c>
      <c r="H10" s="32">
        <f t="shared" ref="H10:H21" si="0">(G10/11)*12</f>
        <v>62331.370909090903</v>
      </c>
      <c r="I10" s="32">
        <v>60000</v>
      </c>
      <c r="J10" s="95"/>
      <c r="K10"/>
    </row>
    <row r="11" spans="1:11">
      <c r="A11" s="19" t="s">
        <v>47</v>
      </c>
      <c r="B11" s="19"/>
      <c r="C11" s="19" t="s">
        <v>39</v>
      </c>
      <c r="D11" s="19"/>
      <c r="E11" s="32">
        <v>900000</v>
      </c>
      <c r="F11" s="32">
        <v>0</v>
      </c>
      <c r="G11" s="36">
        <v>1079441.45</v>
      </c>
      <c r="H11" s="32">
        <f t="shared" si="0"/>
        <v>1177572.490909091</v>
      </c>
      <c r="I11" s="32">
        <v>1200000</v>
      </c>
      <c r="J11" s="95" t="s">
        <v>721</v>
      </c>
      <c r="K11"/>
    </row>
    <row r="12" spans="1:11">
      <c r="A12" s="19" t="s">
        <v>48</v>
      </c>
      <c r="B12" s="19"/>
      <c r="C12" s="19" t="s">
        <v>49</v>
      </c>
      <c r="D12" s="19"/>
      <c r="E12" s="32">
        <v>5500</v>
      </c>
      <c r="F12" s="32">
        <v>0</v>
      </c>
      <c r="G12" s="36">
        <v>210</v>
      </c>
      <c r="H12" s="32">
        <f t="shared" si="0"/>
        <v>229.09090909090907</v>
      </c>
      <c r="I12" s="32">
        <v>5500</v>
      </c>
      <c r="J12" s="95"/>
      <c r="K12"/>
    </row>
    <row r="13" spans="1:11">
      <c r="A13" s="19" t="s">
        <v>50</v>
      </c>
      <c r="B13" s="19"/>
      <c r="C13" s="19" t="s">
        <v>51</v>
      </c>
      <c r="D13" s="19"/>
      <c r="E13" s="32">
        <v>1800</v>
      </c>
      <c r="F13" s="32">
        <v>0</v>
      </c>
      <c r="G13" s="36">
        <v>600</v>
      </c>
      <c r="H13" s="32">
        <v>2000</v>
      </c>
      <c r="I13" s="32">
        <v>2000</v>
      </c>
      <c r="J13" s="95"/>
      <c r="K13"/>
    </row>
    <row r="14" spans="1:11">
      <c r="A14" s="19" t="s">
        <v>683</v>
      </c>
      <c r="B14" s="19"/>
      <c r="C14" s="19" t="s">
        <v>682</v>
      </c>
      <c r="D14" s="19"/>
      <c r="E14" s="32">
        <v>150000</v>
      </c>
      <c r="F14" s="32">
        <v>0</v>
      </c>
      <c r="G14" s="36">
        <v>217224.5</v>
      </c>
      <c r="H14" s="32">
        <f t="shared" si="0"/>
        <v>236972.18181818182</v>
      </c>
      <c r="I14" s="32">
        <v>315000</v>
      </c>
      <c r="J14" s="95" t="s">
        <v>1304</v>
      </c>
      <c r="K14"/>
    </row>
    <row r="15" spans="1:11">
      <c r="A15" s="19" t="s">
        <v>52</v>
      </c>
      <c r="B15" s="19"/>
      <c r="C15" s="19" t="s">
        <v>53</v>
      </c>
      <c r="D15" s="19"/>
      <c r="E15" s="32">
        <v>1500</v>
      </c>
      <c r="F15" s="32">
        <v>0</v>
      </c>
      <c r="G15" s="36">
        <v>2137.8000000000002</v>
      </c>
      <c r="H15" s="32">
        <f t="shared" si="0"/>
        <v>2332.1454545454549</v>
      </c>
      <c r="I15" s="32">
        <v>1500</v>
      </c>
      <c r="J15" s="95"/>
      <c r="K15"/>
    </row>
    <row r="16" spans="1:11">
      <c r="A16" s="19" t="s">
        <v>54</v>
      </c>
      <c r="B16" s="19"/>
      <c r="C16" s="19" t="s">
        <v>55</v>
      </c>
      <c r="D16" s="19"/>
      <c r="E16" s="32">
        <v>12720</v>
      </c>
      <c r="F16" s="32">
        <v>0</v>
      </c>
      <c r="G16" s="36">
        <v>11660</v>
      </c>
      <c r="H16" s="32">
        <f t="shared" si="0"/>
        <v>12720</v>
      </c>
      <c r="I16" s="32">
        <v>12720</v>
      </c>
      <c r="J16" s="95"/>
      <c r="K16"/>
    </row>
    <row r="17" spans="1:11">
      <c r="A17" s="19" t="s">
        <v>56</v>
      </c>
      <c r="B17" s="19"/>
      <c r="C17" s="19" t="s">
        <v>57</v>
      </c>
      <c r="D17" s="19"/>
      <c r="E17" s="32">
        <v>3240</v>
      </c>
      <c r="F17" s="32">
        <v>0</v>
      </c>
      <c r="G17" s="36">
        <v>2970</v>
      </c>
      <c r="H17" s="32">
        <f t="shared" si="0"/>
        <v>3240</v>
      </c>
      <c r="I17" s="32">
        <v>3240</v>
      </c>
      <c r="J17" s="95"/>
      <c r="K17"/>
    </row>
    <row r="18" spans="1:11">
      <c r="A18" s="19" t="s">
        <v>58</v>
      </c>
      <c r="B18" s="19"/>
      <c r="C18" s="19" t="s">
        <v>59</v>
      </c>
      <c r="D18" s="19"/>
      <c r="E18" s="32">
        <v>12000</v>
      </c>
      <c r="F18" s="32">
        <v>0</v>
      </c>
      <c r="G18" s="36">
        <v>12974.44</v>
      </c>
      <c r="H18" s="32">
        <f t="shared" si="0"/>
        <v>14153.934545454546</v>
      </c>
      <c r="I18" s="32">
        <v>13000</v>
      </c>
      <c r="J18" s="95"/>
      <c r="K18"/>
    </row>
    <row r="19" spans="1:11">
      <c r="A19" s="19" t="s">
        <v>60</v>
      </c>
      <c r="B19" s="19"/>
      <c r="C19" s="19" t="s">
        <v>61</v>
      </c>
      <c r="D19" s="19"/>
      <c r="E19" s="32">
        <v>130000</v>
      </c>
      <c r="F19" s="32">
        <v>0</v>
      </c>
      <c r="G19" s="36">
        <v>101895.43</v>
      </c>
      <c r="H19" s="32">
        <f t="shared" si="0"/>
        <v>111158.65090909091</v>
      </c>
      <c r="I19" s="32">
        <v>130000</v>
      </c>
      <c r="J19" s="95" t="s">
        <v>710</v>
      </c>
      <c r="K19"/>
    </row>
    <row r="20" spans="1:11">
      <c r="A20" s="19" t="s">
        <v>62</v>
      </c>
      <c r="B20" s="19"/>
      <c r="C20" s="19" t="s">
        <v>63</v>
      </c>
      <c r="D20" s="19"/>
      <c r="E20" s="32">
        <v>1800</v>
      </c>
      <c r="F20" s="32">
        <v>0</v>
      </c>
      <c r="G20" s="36">
        <v>2049.8200000000002</v>
      </c>
      <c r="H20" s="32">
        <f t="shared" si="0"/>
        <v>2236.167272727273</v>
      </c>
      <c r="I20" s="32">
        <v>2200</v>
      </c>
      <c r="J20" s="95"/>
      <c r="K20"/>
    </row>
    <row r="21" spans="1:11">
      <c r="A21" s="19" t="s">
        <v>64</v>
      </c>
      <c r="B21" s="19"/>
      <c r="C21" s="19" t="s">
        <v>65</v>
      </c>
      <c r="D21" s="19"/>
      <c r="E21" s="32">
        <v>25237</v>
      </c>
      <c r="F21" s="32">
        <v>0</v>
      </c>
      <c r="G21" s="36">
        <v>26637</v>
      </c>
      <c r="H21" s="32">
        <f t="shared" si="0"/>
        <v>29058.545454545456</v>
      </c>
      <c r="I21" s="32">
        <v>30000</v>
      </c>
      <c r="J21" s="95"/>
      <c r="K21"/>
    </row>
    <row r="22" spans="1:11" s="3" customFormat="1" ht="15.75" thickBot="1">
      <c r="A22" s="41"/>
      <c r="B22" s="41"/>
      <c r="C22" s="41" t="s">
        <v>802</v>
      </c>
      <c r="D22" s="41"/>
      <c r="E22" s="167">
        <f>SUM(E9:E21)</f>
        <v>1578797</v>
      </c>
      <c r="F22" s="167">
        <f t="shared" ref="F22:I22" si="1">SUM(F9:F21)</f>
        <v>0</v>
      </c>
      <c r="G22" s="167">
        <f t="shared" si="1"/>
        <v>1791278.9</v>
      </c>
      <c r="H22" s="167">
        <f>SUM(H9:H21)</f>
        <v>1955467.8909090909</v>
      </c>
      <c r="I22" s="167">
        <f t="shared" si="1"/>
        <v>2050160</v>
      </c>
      <c r="J22" s="164"/>
    </row>
    <row r="23" spans="1:11" ht="15.75" thickTop="1">
      <c r="A23" s="19"/>
      <c r="B23" s="19"/>
      <c r="C23" s="19"/>
      <c r="D23" s="19"/>
      <c r="E23" s="20"/>
      <c r="F23" s="20"/>
      <c r="G23" s="20"/>
      <c r="H23" s="20"/>
      <c r="I23" s="20"/>
      <c r="J23" s="168"/>
    </row>
    <row r="24" spans="1:11">
      <c r="A24" s="19"/>
      <c r="B24" s="19"/>
      <c r="C24" s="19"/>
      <c r="D24" s="19"/>
      <c r="E24" s="20"/>
      <c r="F24" s="20"/>
      <c r="G24" s="20"/>
      <c r="H24" s="20"/>
      <c r="I24" s="20"/>
      <c r="J24" s="168"/>
    </row>
    <row r="25" spans="1:11">
      <c r="A25" s="201" t="s">
        <v>67</v>
      </c>
      <c r="B25" s="201"/>
      <c r="C25" s="201"/>
      <c r="D25" s="201"/>
      <c r="E25" s="201"/>
      <c r="F25" s="201"/>
      <c r="G25" s="201"/>
      <c r="H25" s="201"/>
      <c r="I25" s="201"/>
      <c r="J25" s="201"/>
      <c r="K25"/>
    </row>
    <row r="26" spans="1:11">
      <c r="A26" s="19" t="s">
        <v>68</v>
      </c>
      <c r="B26" s="19"/>
      <c r="C26" s="19" t="s">
        <v>25</v>
      </c>
      <c r="D26" s="19"/>
      <c r="E26" s="32">
        <v>165000</v>
      </c>
      <c r="F26" s="32">
        <v>0</v>
      </c>
      <c r="G26" s="36">
        <v>155475.32999999999</v>
      </c>
      <c r="H26" s="32">
        <v>165000</v>
      </c>
      <c r="I26" s="32">
        <v>165000</v>
      </c>
      <c r="J26" s="95"/>
      <c r="K26"/>
    </row>
    <row r="27" spans="1:11" s="3" customFormat="1" ht="15.75" thickBot="1">
      <c r="A27" s="41"/>
      <c r="B27" s="41"/>
      <c r="C27" s="41" t="s">
        <v>803</v>
      </c>
      <c r="D27" s="41"/>
      <c r="E27" s="167">
        <f>SUM(E26:E26)</f>
        <v>165000</v>
      </c>
      <c r="F27" s="167">
        <f t="shared" ref="F27:I27" si="2">SUM(F26:F26)</f>
        <v>0</v>
      </c>
      <c r="G27" s="167">
        <f t="shared" si="2"/>
        <v>155475.32999999999</v>
      </c>
      <c r="H27" s="167">
        <f t="shared" si="2"/>
        <v>165000</v>
      </c>
      <c r="I27" s="167">
        <f t="shared" si="2"/>
        <v>165000</v>
      </c>
      <c r="J27" s="164"/>
    </row>
    <row r="28" spans="1:11" ht="15.75" thickTop="1">
      <c r="A28" s="19"/>
      <c r="B28" s="19"/>
      <c r="C28" s="19"/>
      <c r="D28" s="19"/>
      <c r="E28" s="20"/>
      <c r="F28" s="20"/>
      <c r="G28" s="20"/>
      <c r="H28" s="20"/>
      <c r="I28" s="20"/>
      <c r="J28" s="168"/>
    </row>
    <row r="29" spans="1:11">
      <c r="A29" s="19"/>
      <c r="B29" s="19"/>
      <c r="C29" s="19"/>
      <c r="D29" s="19"/>
      <c r="E29" s="20"/>
      <c r="F29" s="20"/>
      <c r="G29" s="20"/>
      <c r="H29" s="20"/>
      <c r="I29" s="20"/>
      <c r="J29" s="168"/>
    </row>
    <row r="30" spans="1:11">
      <c r="A30" s="201" t="s">
        <v>69</v>
      </c>
      <c r="B30" s="201"/>
      <c r="C30" s="201"/>
      <c r="D30" s="201"/>
      <c r="E30" s="201"/>
      <c r="F30" s="201"/>
      <c r="G30" s="201"/>
      <c r="H30" s="201"/>
      <c r="I30" s="201"/>
      <c r="J30" s="201"/>
      <c r="K30"/>
    </row>
    <row r="31" spans="1:11">
      <c r="A31" s="19" t="s">
        <v>81</v>
      </c>
      <c r="B31" s="19"/>
      <c r="C31" s="21" t="s">
        <v>70</v>
      </c>
      <c r="D31" s="19"/>
      <c r="E31" s="32">
        <v>1500</v>
      </c>
      <c r="F31" s="32">
        <v>0</v>
      </c>
      <c r="G31" s="36">
        <v>1218.75</v>
      </c>
      <c r="H31" s="32">
        <f>(G31/11)*12</f>
        <v>1329.5454545454545</v>
      </c>
      <c r="I31" s="32">
        <v>1500</v>
      </c>
      <c r="J31" s="95"/>
      <c r="K31"/>
    </row>
    <row r="32" spans="1:11">
      <c r="A32" s="19" t="s">
        <v>82</v>
      </c>
      <c r="B32" s="19"/>
      <c r="C32" s="21" t="s">
        <v>71</v>
      </c>
      <c r="D32" s="19"/>
      <c r="E32" s="32">
        <v>750</v>
      </c>
      <c r="F32" s="32">
        <v>0</v>
      </c>
      <c r="G32" s="36">
        <v>1725</v>
      </c>
      <c r="H32" s="32">
        <f>(G32/11)*12</f>
        <v>1881.8181818181818</v>
      </c>
      <c r="I32" s="32">
        <v>750</v>
      </c>
      <c r="J32" s="95"/>
      <c r="K32"/>
    </row>
    <row r="33" spans="1:11">
      <c r="A33" s="19" t="s">
        <v>83</v>
      </c>
      <c r="B33" s="19"/>
      <c r="C33" s="21" t="s">
        <v>72</v>
      </c>
      <c r="D33" s="19"/>
      <c r="E33" s="32">
        <v>150</v>
      </c>
      <c r="F33" s="32">
        <v>0</v>
      </c>
      <c r="G33" s="36">
        <v>600</v>
      </c>
      <c r="H33" s="32">
        <v>150</v>
      </c>
      <c r="I33" s="32">
        <v>150</v>
      </c>
      <c r="J33" s="95"/>
      <c r="K33"/>
    </row>
    <row r="34" spans="1:11">
      <c r="A34" s="19" t="s">
        <v>84</v>
      </c>
      <c r="B34" s="19"/>
      <c r="C34" s="21" t="s">
        <v>73</v>
      </c>
      <c r="D34" s="19"/>
      <c r="E34" s="32">
        <v>12500</v>
      </c>
      <c r="F34" s="32">
        <v>0</v>
      </c>
      <c r="G34" s="36">
        <v>10000</v>
      </c>
      <c r="H34" s="32">
        <v>15000</v>
      </c>
      <c r="I34" s="32">
        <v>15000</v>
      </c>
      <c r="J34" s="95" t="s">
        <v>985</v>
      </c>
      <c r="K34"/>
    </row>
    <row r="35" spans="1:11">
      <c r="A35" s="19" t="s">
        <v>85</v>
      </c>
      <c r="B35" s="19"/>
      <c r="C35" s="21" t="s">
        <v>74</v>
      </c>
      <c r="D35" s="19"/>
      <c r="E35" s="32">
        <v>12500</v>
      </c>
      <c r="F35" s="32">
        <v>0</v>
      </c>
      <c r="G35" s="36">
        <v>10000</v>
      </c>
      <c r="H35" s="32">
        <v>15000</v>
      </c>
      <c r="I35" s="32">
        <v>15000</v>
      </c>
      <c r="J35" s="95" t="s">
        <v>985</v>
      </c>
      <c r="K35"/>
    </row>
    <row r="36" spans="1:11">
      <c r="A36" s="19" t="s">
        <v>86</v>
      </c>
      <c r="B36" s="19"/>
      <c r="C36" s="21" t="s">
        <v>75</v>
      </c>
      <c r="D36" s="19"/>
      <c r="E36" s="32">
        <v>100</v>
      </c>
      <c r="F36" s="32">
        <v>0</v>
      </c>
      <c r="G36" s="36">
        <v>100</v>
      </c>
      <c r="H36" s="37">
        <v>100</v>
      </c>
      <c r="I36" s="32">
        <v>100</v>
      </c>
      <c r="J36" s="95"/>
      <c r="K36"/>
    </row>
    <row r="37" spans="1:11">
      <c r="A37" s="19" t="s">
        <v>87</v>
      </c>
      <c r="B37" s="19"/>
      <c r="C37" s="21" t="s">
        <v>76</v>
      </c>
      <c r="D37" s="19"/>
      <c r="E37" s="32">
        <v>500</v>
      </c>
      <c r="F37" s="32">
        <v>0</v>
      </c>
      <c r="G37" s="36">
        <v>265</v>
      </c>
      <c r="H37" s="32">
        <f>(G37/11)*12</f>
        <v>289.09090909090907</v>
      </c>
      <c r="I37" s="32">
        <v>500</v>
      </c>
      <c r="J37" s="95"/>
      <c r="K37"/>
    </row>
    <row r="38" spans="1:11">
      <c r="A38" s="19" t="s">
        <v>88</v>
      </c>
      <c r="B38" s="19"/>
      <c r="C38" s="21" t="s">
        <v>77</v>
      </c>
      <c r="D38" s="19"/>
      <c r="E38" s="32">
        <v>50</v>
      </c>
      <c r="F38" s="32">
        <v>0</v>
      </c>
      <c r="G38" s="36">
        <v>0</v>
      </c>
      <c r="H38" s="32">
        <v>0</v>
      </c>
      <c r="I38" s="32">
        <v>50</v>
      </c>
      <c r="J38" s="95"/>
      <c r="K38"/>
    </row>
    <row r="39" spans="1:11">
      <c r="A39" s="19" t="s">
        <v>89</v>
      </c>
      <c r="B39" s="19"/>
      <c r="C39" s="21" t="s">
        <v>78</v>
      </c>
      <c r="D39" s="19"/>
      <c r="E39" s="32">
        <v>2000</v>
      </c>
      <c r="F39" s="32">
        <v>0</v>
      </c>
      <c r="G39" s="36">
        <v>1115</v>
      </c>
      <c r="H39" s="32">
        <f>(G39/11)*12</f>
        <v>1216.3636363636363</v>
      </c>
      <c r="I39" s="32">
        <v>1500</v>
      </c>
      <c r="J39" s="95"/>
      <c r="K39"/>
    </row>
    <row r="40" spans="1:11">
      <c r="A40" s="19" t="s">
        <v>90</v>
      </c>
      <c r="B40" s="19"/>
      <c r="C40" s="21" t="s">
        <v>79</v>
      </c>
      <c r="D40" s="19"/>
      <c r="E40" s="32">
        <v>1000</v>
      </c>
      <c r="F40" s="32">
        <v>0</v>
      </c>
      <c r="G40" s="36">
        <v>945</v>
      </c>
      <c r="H40" s="32">
        <f>(G40/11)*12</f>
        <v>1030.909090909091</v>
      </c>
      <c r="I40" s="32">
        <v>1000</v>
      </c>
      <c r="J40" s="95"/>
      <c r="K40"/>
    </row>
    <row r="41" spans="1:11">
      <c r="A41" s="19" t="s">
        <v>91</v>
      </c>
      <c r="B41" s="19"/>
      <c r="C41" s="21" t="s">
        <v>80</v>
      </c>
      <c r="D41" s="19"/>
      <c r="E41" s="32">
        <v>400</v>
      </c>
      <c r="F41" s="32">
        <v>0</v>
      </c>
      <c r="G41" s="36">
        <v>0</v>
      </c>
      <c r="H41" s="32">
        <f t="shared" ref="H41" si="3">(G41/11)*12</f>
        <v>0</v>
      </c>
      <c r="I41" s="32">
        <v>400</v>
      </c>
      <c r="J41" s="95"/>
      <c r="K41"/>
    </row>
    <row r="42" spans="1:11" s="3" customFormat="1" ht="15.75" thickBot="1">
      <c r="A42" s="41"/>
      <c r="B42" s="41"/>
      <c r="C42" s="41" t="s">
        <v>804</v>
      </c>
      <c r="D42" s="41"/>
      <c r="E42" s="167">
        <f>SUM(E31:E41)</f>
        <v>31450</v>
      </c>
      <c r="F42" s="167">
        <f t="shared" ref="F42:I42" si="4">SUM(F31:F41)</f>
        <v>0</v>
      </c>
      <c r="G42" s="167">
        <f t="shared" si="4"/>
        <v>25968.75</v>
      </c>
      <c r="H42" s="167">
        <f t="shared" si="4"/>
        <v>35997.727272727272</v>
      </c>
      <c r="I42" s="167">
        <f t="shared" si="4"/>
        <v>35950</v>
      </c>
      <c r="J42" s="164"/>
    </row>
    <row r="43" spans="1:11" ht="15.75" thickTop="1">
      <c r="A43" s="19"/>
      <c r="B43" s="19"/>
      <c r="C43" s="19"/>
      <c r="D43" s="19"/>
      <c r="E43" s="20"/>
      <c r="F43" s="20"/>
      <c r="G43" s="20"/>
      <c r="I43" s="20"/>
      <c r="J43" s="168"/>
    </row>
    <row r="44" spans="1:11">
      <c r="A44" s="19"/>
      <c r="B44" s="19"/>
      <c r="C44" s="19"/>
      <c r="D44" s="19"/>
      <c r="E44" s="20"/>
      <c r="F44" s="20"/>
      <c r="G44" s="20"/>
      <c r="I44" s="20"/>
      <c r="J44" s="168"/>
    </row>
    <row r="45" spans="1:11">
      <c r="A45" s="201" t="s">
        <v>92</v>
      </c>
      <c r="B45" s="201"/>
      <c r="C45" s="201"/>
      <c r="D45" s="201"/>
      <c r="E45" s="201"/>
      <c r="F45" s="201"/>
      <c r="G45" s="201"/>
      <c r="H45" s="201"/>
      <c r="I45" s="201"/>
      <c r="J45" s="201"/>
      <c r="K45"/>
    </row>
    <row r="46" spans="1:11">
      <c r="A46" s="19" t="s">
        <v>104</v>
      </c>
      <c r="B46" s="19"/>
      <c r="C46" s="21" t="s">
        <v>93</v>
      </c>
      <c r="D46" s="19"/>
      <c r="E46" s="32">
        <v>8000</v>
      </c>
      <c r="F46" s="32">
        <v>0</v>
      </c>
      <c r="G46" s="32">
        <v>628</v>
      </c>
      <c r="H46" s="37">
        <v>628</v>
      </c>
      <c r="I46" s="32">
        <v>8000</v>
      </c>
      <c r="J46" s="95"/>
      <c r="K46"/>
    </row>
    <row r="47" spans="1:11" ht="26.25">
      <c r="A47" s="19" t="s">
        <v>105</v>
      </c>
      <c r="B47" s="19"/>
      <c r="C47" s="21" t="s">
        <v>95</v>
      </c>
      <c r="D47" s="19"/>
      <c r="E47" s="32">
        <v>28500</v>
      </c>
      <c r="F47" s="32">
        <v>0</v>
      </c>
      <c r="G47" s="38">
        <v>32230</v>
      </c>
      <c r="H47" s="32">
        <v>32230</v>
      </c>
      <c r="I47" s="32">
        <v>54300</v>
      </c>
      <c r="J47" s="94" t="s">
        <v>962</v>
      </c>
      <c r="K47"/>
    </row>
    <row r="48" spans="1:11">
      <c r="A48" s="19" t="s">
        <v>106</v>
      </c>
      <c r="B48" s="19"/>
      <c r="C48" s="21" t="s">
        <v>94</v>
      </c>
      <c r="D48" s="19"/>
      <c r="E48" s="32">
        <v>0</v>
      </c>
      <c r="F48" s="32">
        <v>0</v>
      </c>
      <c r="G48" s="36">
        <v>0</v>
      </c>
      <c r="H48" s="32">
        <f t="shared" ref="H48:H50" si="5">(G48/11)*12</f>
        <v>0</v>
      </c>
      <c r="I48" s="32">
        <v>0</v>
      </c>
      <c r="J48" s="95"/>
      <c r="K48"/>
    </row>
    <row r="49" spans="1:11">
      <c r="A49" s="19" t="s">
        <v>107</v>
      </c>
      <c r="B49" s="19"/>
      <c r="C49" s="21" t="s">
        <v>96</v>
      </c>
      <c r="D49" s="19"/>
      <c r="E49" s="32">
        <v>36000</v>
      </c>
      <c r="F49" s="32">
        <v>0</v>
      </c>
      <c r="G49" s="36">
        <v>33767.14</v>
      </c>
      <c r="H49" s="32">
        <v>33767.14</v>
      </c>
      <c r="I49" s="32">
        <v>36000</v>
      </c>
      <c r="J49" s="95"/>
      <c r="K49"/>
    </row>
    <row r="50" spans="1:11">
      <c r="A50" s="19" t="s">
        <v>108</v>
      </c>
      <c r="B50" s="19"/>
      <c r="C50" s="21" t="s">
        <v>97</v>
      </c>
      <c r="D50" s="19"/>
      <c r="E50" s="32">
        <v>100</v>
      </c>
      <c r="F50" s="32">
        <v>0</v>
      </c>
      <c r="G50" s="32">
        <v>0</v>
      </c>
      <c r="H50" s="32">
        <f t="shared" si="5"/>
        <v>0</v>
      </c>
      <c r="I50" s="32">
        <v>100</v>
      </c>
      <c r="J50" s="95"/>
      <c r="K50"/>
    </row>
    <row r="51" spans="1:11">
      <c r="A51" s="19" t="s">
        <v>109</v>
      </c>
      <c r="B51" s="19"/>
      <c r="C51" s="21" t="s">
        <v>98</v>
      </c>
      <c r="D51" s="19"/>
      <c r="E51" s="32">
        <v>100</v>
      </c>
      <c r="F51" s="32">
        <v>0</v>
      </c>
      <c r="G51" s="36">
        <v>105.5</v>
      </c>
      <c r="H51" s="32">
        <f>(G51/11)*12</f>
        <v>115.09090909090909</v>
      </c>
      <c r="I51" s="32">
        <v>150</v>
      </c>
      <c r="J51" s="95"/>
      <c r="K51"/>
    </row>
    <row r="52" spans="1:11">
      <c r="A52" s="19" t="s">
        <v>110</v>
      </c>
      <c r="B52" s="19"/>
      <c r="C52" s="21" t="s">
        <v>99</v>
      </c>
      <c r="D52" s="19"/>
      <c r="E52" s="32">
        <v>65000</v>
      </c>
      <c r="F52" s="32">
        <v>0</v>
      </c>
      <c r="G52" s="36">
        <v>48856.54</v>
      </c>
      <c r="H52" s="32">
        <f>(G52/11)*12</f>
        <v>53298.04363636364</v>
      </c>
      <c r="I52" s="32">
        <v>65000</v>
      </c>
      <c r="J52" s="95"/>
      <c r="K52"/>
    </row>
    <row r="53" spans="1:11">
      <c r="A53" s="19" t="s">
        <v>111</v>
      </c>
      <c r="B53" s="19"/>
      <c r="C53" s="21" t="s">
        <v>100</v>
      </c>
      <c r="D53" s="19"/>
      <c r="E53" s="32">
        <v>2000</v>
      </c>
      <c r="F53" s="32">
        <v>0</v>
      </c>
      <c r="G53" s="36">
        <v>98015.15</v>
      </c>
      <c r="H53" s="36">
        <v>98015.15</v>
      </c>
      <c r="I53" s="32">
        <v>2000</v>
      </c>
      <c r="J53" s="95"/>
      <c r="K53"/>
    </row>
    <row r="54" spans="1:11">
      <c r="A54" s="19" t="s">
        <v>112</v>
      </c>
      <c r="B54" s="19"/>
      <c r="C54" s="21" t="s">
        <v>101</v>
      </c>
      <c r="D54" s="19"/>
      <c r="E54" s="32">
        <v>120000</v>
      </c>
      <c r="F54" s="32">
        <v>0</v>
      </c>
      <c r="G54" s="36">
        <v>118222.12</v>
      </c>
      <c r="H54" s="32">
        <f>(G54/11)*12</f>
        <v>128969.58545454545</v>
      </c>
      <c r="I54" s="32">
        <v>140000</v>
      </c>
      <c r="J54" s="95"/>
      <c r="K54"/>
    </row>
    <row r="55" spans="1:11">
      <c r="A55" s="19" t="s">
        <v>113</v>
      </c>
      <c r="B55" s="19"/>
      <c r="C55" s="21" t="s">
        <v>102</v>
      </c>
      <c r="D55" s="19"/>
      <c r="E55" s="32">
        <v>5000</v>
      </c>
      <c r="F55" s="32">
        <v>0</v>
      </c>
      <c r="G55" s="36">
        <v>2250</v>
      </c>
      <c r="H55" s="32">
        <f t="shared" ref="H55:H57" si="6">(G55/11)*12</f>
        <v>2454.5454545454545</v>
      </c>
      <c r="I55" s="32">
        <v>5000</v>
      </c>
      <c r="J55" s="95"/>
      <c r="K55"/>
    </row>
    <row r="56" spans="1:11">
      <c r="A56" s="19" t="s">
        <v>114</v>
      </c>
      <c r="B56" s="19"/>
      <c r="C56" s="21" t="s">
        <v>103</v>
      </c>
      <c r="D56" s="19"/>
      <c r="E56" s="32">
        <v>10000</v>
      </c>
      <c r="F56" s="32">
        <v>0</v>
      </c>
      <c r="G56" s="36">
        <v>10575</v>
      </c>
      <c r="H56" s="32">
        <f t="shared" si="6"/>
        <v>11536.363636363636</v>
      </c>
      <c r="I56" s="32">
        <v>12000</v>
      </c>
      <c r="J56" s="95"/>
      <c r="K56"/>
    </row>
    <row r="57" spans="1:11">
      <c r="A57" s="19" t="s">
        <v>115</v>
      </c>
      <c r="B57" s="19"/>
      <c r="C57" s="21" t="s">
        <v>116</v>
      </c>
      <c r="D57" s="19"/>
      <c r="E57" s="32">
        <v>100</v>
      </c>
      <c r="F57" s="32">
        <v>0</v>
      </c>
      <c r="G57" s="36">
        <v>150</v>
      </c>
      <c r="H57" s="32">
        <f t="shared" si="6"/>
        <v>163.63636363636363</v>
      </c>
      <c r="I57" s="32">
        <v>200</v>
      </c>
      <c r="J57" s="95"/>
      <c r="K57"/>
    </row>
    <row r="58" spans="1:11">
      <c r="A58" s="19" t="s">
        <v>117</v>
      </c>
      <c r="B58" s="19"/>
      <c r="C58" s="21" t="s">
        <v>118</v>
      </c>
      <c r="D58" s="19"/>
      <c r="E58" s="32">
        <v>20000</v>
      </c>
      <c r="F58" s="32">
        <v>0</v>
      </c>
      <c r="G58" s="36">
        <v>10407.25</v>
      </c>
      <c r="H58" s="32">
        <v>10407.25</v>
      </c>
      <c r="I58" s="32">
        <v>20000</v>
      </c>
      <c r="J58" s="95"/>
      <c r="K58"/>
    </row>
    <row r="59" spans="1:11">
      <c r="A59" s="19" t="s">
        <v>119</v>
      </c>
      <c r="B59" s="19"/>
      <c r="C59" s="21" t="s">
        <v>120</v>
      </c>
      <c r="D59" s="19"/>
      <c r="E59" s="32">
        <v>6000</v>
      </c>
      <c r="F59" s="32">
        <v>0</v>
      </c>
      <c r="G59" s="36">
        <v>2300.4</v>
      </c>
      <c r="H59" s="32">
        <v>2300.4</v>
      </c>
      <c r="I59" s="32">
        <v>6000</v>
      </c>
      <c r="J59" s="95"/>
      <c r="K59"/>
    </row>
    <row r="60" spans="1:11">
      <c r="A60" s="19" t="s">
        <v>121</v>
      </c>
      <c r="B60" s="19"/>
      <c r="C60" s="21" t="s">
        <v>122</v>
      </c>
      <c r="D60" s="19"/>
      <c r="E60" s="32">
        <v>5000</v>
      </c>
      <c r="F60" s="32">
        <v>0</v>
      </c>
      <c r="G60" s="36">
        <v>2955</v>
      </c>
      <c r="H60" s="32">
        <v>2955</v>
      </c>
      <c r="I60" s="32">
        <v>5000</v>
      </c>
      <c r="J60" s="95"/>
      <c r="K60"/>
    </row>
    <row r="61" spans="1:11">
      <c r="A61" s="19" t="s">
        <v>123</v>
      </c>
      <c r="B61" s="19"/>
      <c r="C61" s="21" t="s">
        <v>124</v>
      </c>
      <c r="D61" s="19"/>
      <c r="E61" s="32">
        <v>7000</v>
      </c>
      <c r="F61" s="32">
        <v>0</v>
      </c>
      <c r="G61" s="36">
        <v>0</v>
      </c>
      <c r="H61" s="32">
        <v>0</v>
      </c>
      <c r="I61" s="32">
        <v>7000</v>
      </c>
      <c r="J61" s="95"/>
      <c r="K61"/>
    </row>
    <row r="62" spans="1:11">
      <c r="A62" s="19" t="s">
        <v>630</v>
      </c>
      <c r="B62" s="19"/>
      <c r="C62" s="21" t="s">
        <v>631</v>
      </c>
      <c r="D62" s="19"/>
      <c r="E62" s="32">
        <v>900</v>
      </c>
      <c r="F62" s="32">
        <v>0</v>
      </c>
      <c r="G62" s="36">
        <v>0</v>
      </c>
      <c r="H62" s="32">
        <v>0</v>
      </c>
      <c r="I62" s="32">
        <v>900</v>
      </c>
      <c r="J62" s="95"/>
      <c r="K62"/>
    </row>
    <row r="63" spans="1:11">
      <c r="A63" s="19" t="s">
        <v>128</v>
      </c>
      <c r="B63" s="19"/>
      <c r="C63" s="21" t="s">
        <v>126</v>
      </c>
      <c r="D63" s="19"/>
      <c r="E63" s="32">
        <v>2000</v>
      </c>
      <c r="F63" s="32">
        <v>0</v>
      </c>
      <c r="G63" s="36">
        <v>1893.09</v>
      </c>
      <c r="H63" s="32">
        <v>1893.09</v>
      </c>
      <c r="I63" s="32">
        <v>2000</v>
      </c>
      <c r="J63" s="95"/>
      <c r="K63"/>
    </row>
    <row r="64" spans="1:11">
      <c r="A64" s="19" t="s">
        <v>127</v>
      </c>
      <c r="B64" s="19"/>
      <c r="C64" s="21" t="s">
        <v>129</v>
      </c>
      <c r="D64" s="19"/>
      <c r="E64" s="32">
        <v>500</v>
      </c>
      <c r="F64" s="32">
        <v>0</v>
      </c>
      <c r="G64" s="36">
        <v>0</v>
      </c>
      <c r="H64" s="32">
        <v>0</v>
      </c>
      <c r="I64" s="32">
        <v>500</v>
      </c>
      <c r="J64" s="95"/>
      <c r="K64"/>
    </row>
    <row r="65" spans="1:11">
      <c r="A65" s="19" t="s">
        <v>125</v>
      </c>
      <c r="B65" s="19"/>
      <c r="C65" s="21" t="s">
        <v>130</v>
      </c>
      <c r="D65" s="19"/>
      <c r="E65" s="32">
        <v>2500</v>
      </c>
      <c r="F65" s="32">
        <v>0</v>
      </c>
      <c r="G65" s="36">
        <v>40</v>
      </c>
      <c r="H65" s="32">
        <v>2500</v>
      </c>
      <c r="I65" s="32">
        <v>2500</v>
      </c>
      <c r="J65" s="95"/>
      <c r="K65"/>
    </row>
    <row r="66" spans="1:11">
      <c r="A66" s="19" t="s">
        <v>131</v>
      </c>
      <c r="B66" s="19"/>
      <c r="C66" s="21" t="s">
        <v>132</v>
      </c>
      <c r="D66" s="19"/>
      <c r="E66" s="32">
        <v>2000</v>
      </c>
      <c r="F66" s="32">
        <v>0</v>
      </c>
      <c r="G66" s="36">
        <v>850</v>
      </c>
      <c r="H66" s="32">
        <v>850</v>
      </c>
      <c r="I66" s="32">
        <v>2000</v>
      </c>
      <c r="J66" s="95"/>
      <c r="K66"/>
    </row>
    <row r="67" spans="1:11">
      <c r="A67" s="19" t="s">
        <v>964</v>
      </c>
      <c r="B67" s="19"/>
      <c r="C67" s="21" t="s">
        <v>965</v>
      </c>
      <c r="D67" s="19"/>
      <c r="E67" s="32">
        <v>0</v>
      </c>
      <c r="F67" s="32">
        <v>0</v>
      </c>
      <c r="G67" s="36">
        <v>1425</v>
      </c>
      <c r="H67" s="32">
        <v>1425</v>
      </c>
      <c r="I67" s="32">
        <v>2000</v>
      </c>
      <c r="J67" s="95"/>
      <c r="K67"/>
    </row>
    <row r="68" spans="1:11">
      <c r="A68" s="19" t="s">
        <v>133</v>
      </c>
      <c r="B68" s="19"/>
      <c r="C68" s="21" t="s">
        <v>134</v>
      </c>
      <c r="D68" s="19"/>
      <c r="E68" s="32">
        <v>2500</v>
      </c>
      <c r="F68" s="32">
        <v>0</v>
      </c>
      <c r="G68" s="36">
        <v>0</v>
      </c>
      <c r="H68" s="32">
        <v>0</v>
      </c>
      <c r="I68" s="32">
        <v>2500</v>
      </c>
      <c r="J68" s="95"/>
      <c r="K68"/>
    </row>
    <row r="69" spans="1:11">
      <c r="A69" s="19" t="s">
        <v>135</v>
      </c>
      <c r="B69" s="19"/>
      <c r="C69" s="21" t="s">
        <v>136</v>
      </c>
      <c r="D69" s="19"/>
      <c r="E69" s="32">
        <v>1300</v>
      </c>
      <c r="F69" s="32">
        <v>0</v>
      </c>
      <c r="G69" s="36">
        <v>3700</v>
      </c>
      <c r="H69" s="32">
        <v>3700</v>
      </c>
      <c r="I69" s="32">
        <v>1500</v>
      </c>
      <c r="J69" s="95"/>
      <c r="K69"/>
    </row>
    <row r="70" spans="1:11">
      <c r="A70" s="19" t="s">
        <v>137</v>
      </c>
      <c r="B70" s="19"/>
      <c r="C70" s="21" t="s">
        <v>138</v>
      </c>
      <c r="D70" s="19"/>
      <c r="E70" s="32">
        <v>5000</v>
      </c>
      <c r="F70" s="32">
        <v>0</v>
      </c>
      <c r="G70" s="36">
        <v>0</v>
      </c>
      <c r="H70" s="32">
        <v>0</v>
      </c>
      <c r="I70" s="32">
        <v>5000</v>
      </c>
      <c r="J70" s="95"/>
      <c r="K70"/>
    </row>
    <row r="71" spans="1:11">
      <c r="A71" s="19" t="s">
        <v>139</v>
      </c>
      <c r="B71" s="19"/>
      <c r="C71" s="21" t="s">
        <v>140</v>
      </c>
      <c r="D71" s="19"/>
      <c r="E71" s="32">
        <v>2000</v>
      </c>
      <c r="F71" s="32">
        <v>0</v>
      </c>
      <c r="G71" s="36">
        <v>1062.4000000000001</v>
      </c>
      <c r="H71" s="32">
        <f>(G71/11)*12</f>
        <v>1158.9818181818182</v>
      </c>
      <c r="I71" s="32">
        <v>2000</v>
      </c>
      <c r="J71" s="95"/>
      <c r="K71"/>
    </row>
    <row r="72" spans="1:11">
      <c r="A72" s="19" t="s">
        <v>141</v>
      </c>
      <c r="B72" s="19"/>
      <c r="C72" s="21" t="s">
        <v>142</v>
      </c>
      <c r="D72" s="19"/>
      <c r="E72" s="32">
        <v>1000</v>
      </c>
      <c r="F72" s="32">
        <v>0</v>
      </c>
      <c r="G72" s="36">
        <v>219.6</v>
      </c>
      <c r="H72" s="32">
        <f>(G72/11)*12</f>
        <v>239.56363636363636</v>
      </c>
      <c r="I72" s="32">
        <v>1000</v>
      </c>
      <c r="J72" s="95"/>
      <c r="K72"/>
    </row>
    <row r="73" spans="1:11" s="3" customFormat="1" ht="15.75" thickBot="1">
      <c r="A73" s="41"/>
      <c r="B73" s="41"/>
      <c r="C73" s="41" t="s">
        <v>805</v>
      </c>
      <c r="D73" s="41"/>
      <c r="E73" s="167">
        <f>SUM(E46:E72)</f>
        <v>332500</v>
      </c>
      <c r="F73" s="167">
        <f t="shared" ref="F73:I73" si="7">SUM(F46:F72)</f>
        <v>0</v>
      </c>
      <c r="G73" s="167">
        <f t="shared" si="7"/>
        <v>369652.19</v>
      </c>
      <c r="H73" s="167">
        <f t="shared" si="7"/>
        <v>388606.840909091</v>
      </c>
      <c r="I73" s="167">
        <f t="shared" si="7"/>
        <v>382650</v>
      </c>
      <c r="J73" s="164"/>
    </row>
    <row r="74" spans="1:11" ht="15.75" thickTop="1">
      <c r="A74" s="19"/>
      <c r="B74" s="19"/>
      <c r="C74" s="19"/>
      <c r="D74" s="19"/>
      <c r="E74" s="20"/>
      <c r="F74" s="20"/>
      <c r="G74" s="20"/>
      <c r="I74" s="20"/>
      <c r="J74" s="168"/>
    </row>
    <row r="75" spans="1:11">
      <c r="A75" s="19"/>
      <c r="B75" s="19"/>
      <c r="C75" s="19"/>
      <c r="D75" s="19"/>
      <c r="E75" s="20"/>
      <c r="F75" s="20"/>
      <c r="G75" s="20"/>
      <c r="I75" s="20"/>
      <c r="J75" s="168"/>
    </row>
    <row r="76" spans="1:11">
      <c r="A76" s="201" t="s">
        <v>3</v>
      </c>
      <c r="B76" s="201"/>
      <c r="C76" s="201"/>
      <c r="D76" s="201"/>
      <c r="E76" s="201"/>
      <c r="F76" s="201"/>
      <c r="G76" s="201"/>
      <c r="H76" s="201"/>
      <c r="I76" s="201"/>
      <c r="J76" s="201"/>
      <c r="K76"/>
    </row>
    <row r="77" spans="1:11">
      <c r="A77" s="19" t="s">
        <v>146</v>
      </c>
      <c r="B77" s="19"/>
      <c r="C77" s="19" t="s">
        <v>143</v>
      </c>
      <c r="D77" s="19"/>
      <c r="E77" s="32">
        <v>0</v>
      </c>
      <c r="F77" s="32">
        <v>0</v>
      </c>
      <c r="G77" s="32">
        <v>0</v>
      </c>
      <c r="H77" s="37">
        <v>0</v>
      </c>
      <c r="I77" s="32">
        <v>0</v>
      </c>
      <c r="J77" s="95"/>
      <c r="K77"/>
    </row>
    <row r="78" spans="1:11">
      <c r="A78" s="19" t="s">
        <v>147</v>
      </c>
      <c r="B78" s="19"/>
      <c r="C78" s="19" t="s">
        <v>145</v>
      </c>
      <c r="D78" s="19"/>
      <c r="E78" s="32">
        <v>6500</v>
      </c>
      <c r="F78" s="32">
        <v>0</v>
      </c>
      <c r="G78" s="32">
        <v>6496</v>
      </c>
      <c r="H78" s="37">
        <v>6496</v>
      </c>
      <c r="I78" s="32">
        <v>6500</v>
      </c>
      <c r="J78" s="95"/>
      <c r="K78"/>
    </row>
    <row r="79" spans="1:11" s="3" customFormat="1" ht="15.75" thickBot="1">
      <c r="A79" s="41"/>
      <c r="B79" s="41"/>
      <c r="C79" s="41" t="s">
        <v>806</v>
      </c>
      <c r="D79" s="41"/>
      <c r="E79" s="167">
        <f>SUM(E77:E78)</f>
        <v>6500</v>
      </c>
      <c r="F79" s="167">
        <f t="shared" ref="F79:I79" si="8">SUM(F77:F78)</f>
        <v>0</v>
      </c>
      <c r="G79" s="167">
        <f t="shared" si="8"/>
        <v>6496</v>
      </c>
      <c r="H79" s="167">
        <f t="shared" si="8"/>
        <v>6496</v>
      </c>
      <c r="I79" s="167">
        <f t="shared" si="8"/>
        <v>6500</v>
      </c>
      <c r="J79" s="164"/>
    </row>
    <row r="80" spans="1:11" s="3" customFormat="1" ht="15.75" thickTop="1">
      <c r="A80" s="41"/>
      <c r="B80" s="41"/>
      <c r="C80" s="41"/>
      <c r="D80" s="41"/>
      <c r="E80" s="169"/>
      <c r="F80" s="169"/>
      <c r="G80" s="169"/>
      <c r="H80" s="169"/>
      <c r="I80" s="169"/>
      <c r="J80" s="164"/>
    </row>
    <row r="81" spans="1:11">
      <c r="A81" s="19"/>
      <c r="B81" s="19"/>
      <c r="C81" s="19"/>
      <c r="D81" s="19"/>
      <c r="E81" s="20"/>
      <c r="F81" s="20"/>
      <c r="G81" s="20"/>
      <c r="I81" s="20"/>
      <c r="J81" s="95"/>
      <c r="K81"/>
    </row>
    <row r="82" spans="1:11">
      <c r="A82" s="201" t="s">
        <v>148</v>
      </c>
      <c r="B82" s="201"/>
      <c r="C82" s="201"/>
      <c r="D82" s="201"/>
      <c r="E82" s="201"/>
      <c r="F82" s="201"/>
      <c r="G82" s="201"/>
      <c r="H82" s="201"/>
      <c r="I82" s="201"/>
      <c r="J82" s="201"/>
      <c r="K82"/>
    </row>
    <row r="83" spans="1:11">
      <c r="A83" s="19" t="s">
        <v>153</v>
      </c>
      <c r="B83" s="19"/>
      <c r="C83" s="19" t="s">
        <v>149</v>
      </c>
      <c r="D83" s="19"/>
      <c r="E83" s="32">
        <v>15000</v>
      </c>
      <c r="F83" s="32">
        <v>0</v>
      </c>
      <c r="G83" s="38">
        <v>9270</v>
      </c>
      <c r="H83" s="32">
        <f>(G83/11)*12</f>
        <v>10112.727272727272</v>
      </c>
      <c r="I83" s="32">
        <v>15000</v>
      </c>
      <c r="J83" s="95"/>
      <c r="K83"/>
    </row>
    <row r="84" spans="1:11">
      <c r="A84" s="19" t="s">
        <v>154</v>
      </c>
      <c r="B84" s="19"/>
      <c r="C84" s="19" t="s">
        <v>150</v>
      </c>
      <c r="D84" s="19"/>
      <c r="E84" s="32">
        <v>5000</v>
      </c>
      <c r="F84" s="32">
        <v>0</v>
      </c>
      <c r="G84" s="36">
        <v>2775</v>
      </c>
      <c r="H84" s="32">
        <f t="shared" ref="H84:H86" si="9">(G84/11)*12</f>
        <v>3027.2727272727275</v>
      </c>
      <c r="I84" s="32">
        <v>5000</v>
      </c>
      <c r="J84" s="95"/>
      <c r="K84"/>
    </row>
    <row r="85" spans="1:11">
      <c r="A85" s="19" t="s">
        <v>155</v>
      </c>
      <c r="B85" s="19"/>
      <c r="C85" s="19" t="s">
        <v>908</v>
      </c>
      <c r="D85" s="19"/>
      <c r="E85" s="32">
        <v>10000</v>
      </c>
      <c r="F85" s="32">
        <v>0</v>
      </c>
      <c r="G85" s="36">
        <v>8128.3</v>
      </c>
      <c r="H85" s="32">
        <f t="shared" si="9"/>
        <v>8867.2363636363643</v>
      </c>
      <c r="I85" s="32">
        <v>10000</v>
      </c>
      <c r="J85" s="95" t="s">
        <v>1303</v>
      </c>
      <c r="K85"/>
    </row>
    <row r="86" spans="1:11">
      <c r="A86" s="19" t="s">
        <v>156</v>
      </c>
      <c r="B86" s="19"/>
      <c r="C86" s="19" t="s">
        <v>152</v>
      </c>
      <c r="D86" s="19"/>
      <c r="E86" s="32">
        <v>1200</v>
      </c>
      <c r="F86" s="32">
        <v>0</v>
      </c>
      <c r="G86" s="36">
        <v>1178.83</v>
      </c>
      <c r="H86" s="32">
        <f t="shared" si="9"/>
        <v>1285.9963636363636</v>
      </c>
      <c r="I86" s="32">
        <v>1200</v>
      </c>
      <c r="J86" s="95"/>
      <c r="K86"/>
    </row>
    <row r="87" spans="1:11" s="3" customFormat="1" ht="15.75" thickBot="1">
      <c r="A87" s="41"/>
      <c r="B87" s="41"/>
      <c r="C87" s="41" t="s">
        <v>807</v>
      </c>
      <c r="D87" s="41"/>
      <c r="E87" s="167">
        <f>SUM(E83:E86)</f>
        <v>31200</v>
      </c>
      <c r="F87" s="167">
        <f t="shared" ref="F87:I87" si="10">SUM(F83:F86)</f>
        <v>0</v>
      </c>
      <c r="G87" s="167">
        <f t="shared" si="10"/>
        <v>21352.129999999997</v>
      </c>
      <c r="H87" s="167">
        <f t="shared" si="10"/>
        <v>23293.232727272731</v>
      </c>
      <c r="I87" s="167">
        <f t="shared" si="10"/>
        <v>31200</v>
      </c>
      <c r="J87" s="164"/>
    </row>
    <row r="88" spans="1:11" ht="15.75" thickTop="1">
      <c r="A88" s="19"/>
      <c r="B88" s="19"/>
      <c r="C88" s="19"/>
      <c r="D88" s="19"/>
      <c r="E88" s="82"/>
      <c r="F88" s="82"/>
      <c r="G88" s="82"/>
      <c r="H88" s="82"/>
      <c r="I88" s="82"/>
      <c r="J88" s="170"/>
    </row>
    <row r="89" spans="1:11">
      <c r="A89" s="19"/>
      <c r="B89" s="19"/>
      <c r="C89" s="19"/>
      <c r="D89" s="19"/>
      <c r="E89" s="20"/>
      <c r="F89" s="20"/>
      <c r="G89" s="20"/>
      <c r="H89" s="23" t="s">
        <v>13</v>
      </c>
      <c r="I89" s="20"/>
      <c r="J89" s="168"/>
    </row>
    <row r="90" spans="1:11">
      <c r="A90" s="201" t="s">
        <v>157</v>
      </c>
      <c r="B90" s="201"/>
      <c r="C90" s="201"/>
      <c r="D90" s="201"/>
      <c r="E90" s="201"/>
      <c r="F90" s="201"/>
      <c r="G90" s="201"/>
      <c r="H90" s="201"/>
      <c r="I90" s="201"/>
      <c r="J90" s="201"/>
      <c r="K90"/>
    </row>
    <row r="91" spans="1:11">
      <c r="A91" s="19" t="s">
        <v>165</v>
      </c>
      <c r="B91" s="19"/>
      <c r="C91" s="19" t="s">
        <v>158</v>
      </c>
      <c r="D91" s="19"/>
      <c r="E91" s="32">
        <v>0</v>
      </c>
      <c r="F91" s="32">
        <v>0</v>
      </c>
      <c r="G91" s="36">
        <v>0</v>
      </c>
      <c r="H91" s="37">
        <v>0</v>
      </c>
      <c r="I91" s="32">
        <v>0</v>
      </c>
      <c r="J91" s="95" t="s">
        <v>722</v>
      </c>
      <c r="K91"/>
    </row>
    <row r="92" spans="1:11">
      <c r="A92" s="19" t="s">
        <v>956</v>
      </c>
      <c r="B92" s="19"/>
      <c r="C92" s="19" t="s">
        <v>957</v>
      </c>
      <c r="D92" s="19"/>
      <c r="E92" s="32">
        <v>0</v>
      </c>
      <c r="F92" s="32">
        <v>0</v>
      </c>
      <c r="G92" s="36">
        <v>200</v>
      </c>
      <c r="H92" s="32">
        <f>(G92/11)*12</f>
        <v>218.18181818181819</v>
      </c>
      <c r="I92" s="32">
        <v>500</v>
      </c>
      <c r="J92" s="95"/>
      <c r="K92"/>
    </row>
    <row r="93" spans="1:11">
      <c r="A93" s="19" t="s">
        <v>166</v>
      </c>
      <c r="B93" s="19"/>
      <c r="C93" s="19" t="s">
        <v>167</v>
      </c>
      <c r="D93" s="19"/>
      <c r="E93" s="32">
        <v>3600</v>
      </c>
      <c r="F93" s="32">
        <v>0</v>
      </c>
      <c r="G93" s="36">
        <v>2400</v>
      </c>
      <c r="H93" s="37">
        <v>3600</v>
      </c>
      <c r="I93" s="32">
        <v>3600</v>
      </c>
      <c r="J93" s="98"/>
      <c r="K93"/>
    </row>
    <row r="94" spans="1:11">
      <c r="A94" s="19" t="s">
        <v>168</v>
      </c>
      <c r="B94" s="19"/>
      <c r="C94" s="19" t="s">
        <v>160</v>
      </c>
      <c r="D94" s="19"/>
      <c r="E94" s="32">
        <v>2500</v>
      </c>
      <c r="F94" s="32">
        <v>0</v>
      </c>
      <c r="G94" s="36">
        <v>2360</v>
      </c>
      <c r="H94" s="32">
        <f>(G94/11)*12</f>
        <v>2574.5454545454545</v>
      </c>
      <c r="I94" s="32">
        <v>2500</v>
      </c>
      <c r="J94" s="95"/>
      <c r="K94"/>
    </row>
    <row r="95" spans="1:11">
      <c r="A95" s="19" t="s">
        <v>169</v>
      </c>
      <c r="B95" s="19"/>
      <c r="C95" s="19" t="s">
        <v>163</v>
      </c>
      <c r="D95" s="19"/>
      <c r="E95" s="32">
        <v>350</v>
      </c>
      <c r="F95" s="32">
        <v>0</v>
      </c>
      <c r="G95" s="36">
        <v>330</v>
      </c>
      <c r="H95" s="32">
        <f t="shared" ref="H95:H98" si="11">(G95/11)*12</f>
        <v>360</v>
      </c>
      <c r="I95" s="32">
        <v>350</v>
      </c>
      <c r="J95" s="95"/>
      <c r="K95"/>
    </row>
    <row r="96" spans="1:11">
      <c r="A96" s="19" t="s">
        <v>170</v>
      </c>
      <c r="B96" s="19"/>
      <c r="C96" s="19" t="s">
        <v>164</v>
      </c>
      <c r="D96" s="19"/>
      <c r="E96" s="32">
        <v>500</v>
      </c>
      <c r="F96" s="32">
        <v>0</v>
      </c>
      <c r="G96" s="36">
        <v>250</v>
      </c>
      <c r="H96" s="32">
        <f t="shared" si="11"/>
        <v>272.72727272727275</v>
      </c>
      <c r="I96" s="32">
        <v>500</v>
      </c>
      <c r="J96" s="95"/>
      <c r="K96"/>
    </row>
    <row r="97" spans="1:11">
      <c r="A97" s="19" t="s">
        <v>171</v>
      </c>
      <c r="B97" s="19"/>
      <c r="C97" s="19" t="s">
        <v>161</v>
      </c>
      <c r="D97" s="19"/>
      <c r="E97" s="32">
        <v>4000</v>
      </c>
      <c r="F97" s="32">
        <v>0</v>
      </c>
      <c r="G97" s="36">
        <v>11650</v>
      </c>
      <c r="H97" s="32">
        <f t="shared" si="11"/>
        <v>12709.090909090908</v>
      </c>
      <c r="I97" s="32">
        <v>5000</v>
      </c>
      <c r="J97" s="95"/>
      <c r="K97"/>
    </row>
    <row r="98" spans="1:11">
      <c r="A98" s="19" t="s">
        <v>172</v>
      </c>
      <c r="B98" s="19"/>
      <c r="C98" s="19" t="s">
        <v>162</v>
      </c>
      <c r="D98" s="19"/>
      <c r="E98" s="32">
        <v>7500</v>
      </c>
      <c r="F98" s="32">
        <v>0</v>
      </c>
      <c r="G98" s="36">
        <v>572</v>
      </c>
      <c r="H98" s="32">
        <f t="shared" si="11"/>
        <v>624</v>
      </c>
      <c r="I98" s="32">
        <v>7500</v>
      </c>
      <c r="J98" s="95"/>
      <c r="K98"/>
    </row>
    <row r="99" spans="1:11" s="3" customFormat="1" ht="15.75" thickBot="1">
      <c r="A99" s="41"/>
      <c r="B99" s="41"/>
      <c r="C99" s="41" t="s">
        <v>808</v>
      </c>
      <c r="D99" s="41"/>
      <c r="E99" s="167">
        <f>SUM(E91:E98)</f>
        <v>18450</v>
      </c>
      <c r="F99" s="167">
        <f t="shared" ref="F99:I99" si="12">SUM(F91:F98)</f>
        <v>0</v>
      </c>
      <c r="G99" s="167">
        <f t="shared" si="12"/>
        <v>17762</v>
      </c>
      <c r="H99" s="167">
        <f t="shared" si="12"/>
        <v>20358.545454545452</v>
      </c>
      <c r="I99" s="167">
        <f t="shared" si="12"/>
        <v>19950</v>
      </c>
      <c r="J99" s="164"/>
    </row>
    <row r="100" spans="1:11" ht="15.75" thickTop="1">
      <c r="A100" s="19"/>
      <c r="B100" s="19"/>
      <c r="C100" s="19"/>
      <c r="D100" s="19"/>
      <c r="E100" s="20"/>
      <c r="F100" s="20"/>
      <c r="G100" s="20"/>
      <c r="I100" s="20"/>
      <c r="J100" s="168"/>
    </row>
    <row r="101" spans="1:11">
      <c r="A101" s="19"/>
      <c r="B101" s="19"/>
      <c r="C101" s="19"/>
      <c r="D101" s="19"/>
      <c r="E101" s="20"/>
      <c r="F101" s="20"/>
      <c r="G101" s="20"/>
      <c r="I101" s="20"/>
      <c r="J101" s="168"/>
    </row>
    <row r="102" spans="1:11">
      <c r="A102" s="201" t="s">
        <v>173</v>
      </c>
      <c r="B102" s="201"/>
      <c r="C102" s="201"/>
      <c r="D102" s="201"/>
      <c r="E102" s="201"/>
      <c r="F102" s="201"/>
      <c r="G102" s="201"/>
      <c r="H102" s="201"/>
      <c r="I102" s="201"/>
      <c r="J102" s="201"/>
      <c r="K102"/>
    </row>
    <row r="103" spans="1:11">
      <c r="A103" s="19" t="s">
        <v>178</v>
      </c>
      <c r="B103" s="19"/>
      <c r="C103" s="19" t="s">
        <v>174</v>
      </c>
      <c r="D103" s="19"/>
      <c r="E103" s="32">
        <v>5</v>
      </c>
      <c r="F103" s="32">
        <v>0</v>
      </c>
      <c r="G103" s="36">
        <v>0</v>
      </c>
      <c r="H103" s="32">
        <f t="shared" ref="H103" si="13">(G103/11)*12</f>
        <v>0</v>
      </c>
      <c r="I103" s="32">
        <v>5</v>
      </c>
      <c r="J103" s="95"/>
      <c r="K103"/>
    </row>
    <row r="104" spans="1:11">
      <c r="A104" s="19" t="s">
        <v>179</v>
      </c>
      <c r="B104" s="19"/>
      <c r="C104" s="19" t="s">
        <v>175</v>
      </c>
      <c r="D104" s="19"/>
      <c r="E104" s="32">
        <v>20</v>
      </c>
      <c r="F104" s="32">
        <v>0</v>
      </c>
      <c r="G104" s="36">
        <v>41.54</v>
      </c>
      <c r="H104" s="32">
        <f>(G104/11)*12</f>
        <v>45.316363636363633</v>
      </c>
      <c r="I104" s="32">
        <v>30</v>
      </c>
      <c r="J104" s="95"/>
      <c r="K104"/>
    </row>
    <row r="105" spans="1:11">
      <c r="A105" s="19" t="s">
        <v>180</v>
      </c>
      <c r="B105" s="19"/>
      <c r="C105" s="19" t="s">
        <v>176</v>
      </c>
      <c r="D105" s="19"/>
      <c r="E105" s="32">
        <v>10000</v>
      </c>
      <c r="F105" s="32">
        <v>0</v>
      </c>
      <c r="G105" s="36">
        <v>16003.75</v>
      </c>
      <c r="H105" s="32">
        <f>(G105/11)*12</f>
        <v>17458.636363636364</v>
      </c>
      <c r="I105" s="32">
        <v>15000</v>
      </c>
      <c r="J105" s="95"/>
      <c r="K105"/>
    </row>
    <row r="106" spans="1:11" s="3" customFormat="1" ht="15.75" thickBot="1">
      <c r="A106" s="41"/>
      <c r="B106" s="41"/>
      <c r="C106" s="41" t="s">
        <v>809</v>
      </c>
      <c r="D106" s="41"/>
      <c r="E106" s="167">
        <f>SUM(E103:E105)</f>
        <v>10025</v>
      </c>
      <c r="F106" s="167">
        <f t="shared" ref="F106:I106" si="14">SUM(F103:F105)</f>
        <v>0</v>
      </c>
      <c r="G106" s="167">
        <f t="shared" si="14"/>
        <v>16045.29</v>
      </c>
      <c r="H106" s="167">
        <f t="shared" si="14"/>
        <v>17503.952727272728</v>
      </c>
      <c r="I106" s="167">
        <f t="shared" si="14"/>
        <v>15035</v>
      </c>
      <c r="J106" s="164"/>
    </row>
    <row r="107" spans="1:11" ht="15.75" thickTop="1">
      <c r="A107" s="19"/>
      <c r="B107" s="19"/>
      <c r="C107" s="19"/>
      <c r="D107" s="19"/>
      <c r="E107" s="20"/>
      <c r="F107" s="20"/>
      <c r="G107" s="20"/>
      <c r="I107" s="20"/>
      <c r="J107" s="168"/>
    </row>
    <row r="108" spans="1:11">
      <c r="A108" s="19"/>
      <c r="B108" s="19"/>
      <c r="C108" s="19"/>
      <c r="D108" s="19"/>
      <c r="E108" s="20"/>
      <c r="F108" s="20"/>
      <c r="G108" s="20"/>
      <c r="I108" s="20"/>
      <c r="J108" s="168"/>
    </row>
    <row r="109" spans="1:11">
      <c r="A109" s="201" t="s">
        <v>181</v>
      </c>
      <c r="B109" s="201"/>
      <c r="C109" s="201"/>
      <c r="D109" s="201"/>
      <c r="E109" s="201"/>
      <c r="F109" s="201"/>
      <c r="G109" s="201"/>
      <c r="H109" s="201"/>
      <c r="I109" s="201"/>
      <c r="J109" s="201"/>
      <c r="K109"/>
    </row>
    <row r="110" spans="1:11">
      <c r="A110" s="19" t="s">
        <v>685</v>
      </c>
      <c r="B110" s="19"/>
      <c r="C110" s="19" t="s">
        <v>686</v>
      </c>
      <c r="D110" s="19"/>
      <c r="E110" s="32">
        <v>0</v>
      </c>
      <c r="F110" s="32">
        <v>0</v>
      </c>
      <c r="G110" s="32">
        <v>0</v>
      </c>
      <c r="H110" s="37">
        <v>0</v>
      </c>
      <c r="I110" s="32">
        <v>0</v>
      </c>
      <c r="J110" s="95"/>
      <c r="K110"/>
    </row>
    <row r="111" spans="1:11">
      <c r="A111" s="19" t="s">
        <v>785</v>
      </c>
      <c r="B111" s="19"/>
      <c r="C111" s="19" t="s">
        <v>784</v>
      </c>
      <c r="D111" s="19"/>
      <c r="E111" s="32">
        <v>209174</v>
      </c>
      <c r="F111" s="32">
        <v>0</v>
      </c>
      <c r="G111" s="32">
        <v>205506.45</v>
      </c>
      <c r="H111" s="37">
        <v>205506.45</v>
      </c>
      <c r="I111" s="32">
        <v>0</v>
      </c>
      <c r="J111" s="95" t="s">
        <v>1049</v>
      </c>
      <c r="K111"/>
    </row>
    <row r="112" spans="1:11">
      <c r="A112" s="19" t="s">
        <v>183</v>
      </c>
      <c r="B112" s="19"/>
      <c r="C112" s="19" t="s">
        <v>182</v>
      </c>
      <c r="D112" s="19"/>
      <c r="E112" s="32">
        <v>4000</v>
      </c>
      <c r="F112" s="32">
        <v>0</v>
      </c>
      <c r="G112" s="36">
        <v>5000</v>
      </c>
      <c r="H112" s="32">
        <v>9000</v>
      </c>
      <c r="I112" s="32">
        <v>4000</v>
      </c>
      <c r="J112" s="95"/>
      <c r="K112"/>
    </row>
    <row r="113" spans="1:11" s="3" customFormat="1" ht="15.75" thickBot="1">
      <c r="A113" s="41"/>
      <c r="B113" s="41"/>
      <c r="C113" s="41" t="s">
        <v>810</v>
      </c>
      <c r="D113" s="41"/>
      <c r="E113" s="167">
        <f>SUM(E110:E112)</f>
        <v>213174</v>
      </c>
      <c r="F113" s="167">
        <f t="shared" ref="F113:I113" si="15">SUM(F110:F112)</f>
        <v>0</v>
      </c>
      <c r="G113" s="167">
        <f t="shared" si="15"/>
        <v>210506.45</v>
      </c>
      <c r="H113" s="167">
        <f t="shared" si="15"/>
        <v>214506.45</v>
      </c>
      <c r="I113" s="167">
        <f t="shared" si="15"/>
        <v>4000</v>
      </c>
      <c r="J113" s="164"/>
    </row>
    <row r="114" spans="1:11" ht="15.75" thickTop="1">
      <c r="A114" s="19"/>
      <c r="B114" s="19"/>
      <c r="C114" s="19"/>
      <c r="D114" s="19"/>
      <c r="E114" s="20"/>
      <c r="F114" s="20"/>
      <c r="G114" s="20"/>
      <c r="I114" s="20"/>
      <c r="J114" s="168"/>
    </row>
    <row r="115" spans="1:11">
      <c r="A115" s="19"/>
      <c r="B115" s="19"/>
      <c r="C115" s="19"/>
      <c r="D115" s="19"/>
      <c r="E115" s="20"/>
      <c r="F115" s="20"/>
      <c r="G115" s="20"/>
      <c r="I115" s="20"/>
      <c r="J115" s="168"/>
    </row>
    <row r="116" spans="1:11">
      <c r="A116" s="201" t="s">
        <v>184</v>
      </c>
      <c r="B116" s="201"/>
      <c r="C116" s="201"/>
      <c r="D116" s="201"/>
      <c r="E116" s="201"/>
      <c r="F116" s="201"/>
      <c r="G116" s="201"/>
      <c r="H116" s="201"/>
      <c r="I116" s="201"/>
      <c r="J116" s="201"/>
      <c r="K116"/>
    </row>
    <row r="117" spans="1:11">
      <c r="A117" s="19" t="s">
        <v>190</v>
      </c>
      <c r="B117" s="19"/>
      <c r="C117" s="19" t="s">
        <v>185</v>
      </c>
      <c r="D117" s="19"/>
      <c r="E117" s="32">
        <v>0</v>
      </c>
      <c r="F117" s="32">
        <v>0</v>
      </c>
      <c r="G117" s="38">
        <v>885</v>
      </c>
      <c r="H117" s="37">
        <v>885</v>
      </c>
      <c r="I117" s="32">
        <v>0</v>
      </c>
      <c r="J117" s="95"/>
      <c r="K117"/>
    </row>
    <row r="118" spans="1:11">
      <c r="A118" s="19" t="s">
        <v>191</v>
      </c>
      <c r="B118" s="19"/>
      <c r="C118" s="19" t="s">
        <v>186</v>
      </c>
      <c r="D118" s="19"/>
      <c r="E118" s="32">
        <v>0</v>
      </c>
      <c r="F118" s="32">
        <v>0</v>
      </c>
      <c r="G118" s="36">
        <v>0</v>
      </c>
      <c r="H118" s="37">
        <v>0</v>
      </c>
      <c r="I118" s="32">
        <v>0</v>
      </c>
      <c r="J118" s="95"/>
      <c r="K118"/>
    </row>
    <row r="119" spans="1:11">
      <c r="A119" s="19" t="s">
        <v>192</v>
      </c>
      <c r="B119" s="19"/>
      <c r="C119" s="19" t="s">
        <v>187</v>
      </c>
      <c r="D119" s="19"/>
      <c r="E119" s="32">
        <v>0</v>
      </c>
      <c r="F119" s="32">
        <v>0</v>
      </c>
      <c r="G119" s="36">
        <v>0</v>
      </c>
      <c r="H119" s="37">
        <v>0</v>
      </c>
      <c r="I119" s="32">
        <v>0</v>
      </c>
      <c r="J119" s="95"/>
      <c r="K119"/>
    </row>
    <row r="120" spans="1:11">
      <c r="A120" s="19" t="s">
        <v>193</v>
      </c>
      <c r="B120" s="19"/>
      <c r="C120" s="19" t="s">
        <v>188</v>
      </c>
      <c r="D120" s="19"/>
      <c r="E120" s="32">
        <v>0</v>
      </c>
      <c r="F120" s="32">
        <v>0</v>
      </c>
      <c r="G120" s="36">
        <v>500</v>
      </c>
      <c r="H120" s="37">
        <v>500</v>
      </c>
      <c r="I120" s="32">
        <v>0</v>
      </c>
      <c r="J120" s="95"/>
      <c r="K120"/>
    </row>
    <row r="121" spans="1:11">
      <c r="A121" s="19" t="s">
        <v>194</v>
      </c>
      <c r="B121" s="19"/>
      <c r="C121" s="19" t="s">
        <v>189</v>
      </c>
      <c r="D121" s="19"/>
      <c r="E121" s="32">
        <v>0</v>
      </c>
      <c r="F121" s="32">
        <v>0</v>
      </c>
      <c r="G121" s="36">
        <v>0</v>
      </c>
      <c r="H121" s="37">
        <v>0</v>
      </c>
      <c r="I121" s="32">
        <v>0</v>
      </c>
      <c r="J121" s="95"/>
      <c r="K121"/>
    </row>
    <row r="122" spans="1:11" s="3" customFormat="1" ht="15.75" thickBot="1">
      <c r="A122" s="41"/>
      <c r="B122" s="41"/>
      <c r="C122" s="41" t="s">
        <v>811</v>
      </c>
      <c r="D122" s="41"/>
      <c r="E122" s="167">
        <f>SUM(E117:E121)</f>
        <v>0</v>
      </c>
      <c r="F122" s="167">
        <f t="shared" ref="F122:I122" si="16">SUM(F117:F121)</f>
        <v>0</v>
      </c>
      <c r="G122" s="167">
        <f t="shared" si="16"/>
        <v>1385</v>
      </c>
      <c r="H122" s="167">
        <f t="shared" si="16"/>
        <v>1385</v>
      </c>
      <c r="I122" s="167">
        <f t="shared" si="16"/>
        <v>0</v>
      </c>
      <c r="J122" s="164"/>
    </row>
    <row r="123" spans="1:11" ht="15.75" thickTop="1">
      <c r="A123" s="19"/>
      <c r="B123" s="19"/>
      <c r="C123" s="19"/>
      <c r="D123" s="19"/>
      <c r="E123" s="20"/>
      <c r="F123" s="20"/>
      <c r="G123" s="20"/>
      <c r="I123" s="20"/>
      <c r="J123" s="168"/>
    </row>
    <row r="124" spans="1:11">
      <c r="A124" s="19"/>
      <c r="B124" s="19"/>
      <c r="C124" s="19"/>
      <c r="D124" s="19"/>
      <c r="E124" s="20"/>
      <c r="F124" s="20"/>
      <c r="G124" s="20"/>
      <c r="I124" s="20"/>
      <c r="J124" s="168"/>
    </row>
    <row r="125" spans="1:11">
      <c r="A125" s="201" t="s">
        <v>195</v>
      </c>
      <c r="B125" s="201"/>
      <c r="C125" s="201"/>
      <c r="D125" s="201"/>
      <c r="E125" s="201"/>
      <c r="F125" s="201"/>
      <c r="G125" s="201"/>
      <c r="H125" s="201"/>
      <c r="I125" s="201"/>
      <c r="J125" s="201"/>
      <c r="K125"/>
    </row>
    <row r="126" spans="1:11">
      <c r="A126" s="19" t="s">
        <v>199</v>
      </c>
      <c r="B126" s="19"/>
      <c r="C126" s="19" t="s">
        <v>200</v>
      </c>
      <c r="D126" s="19"/>
      <c r="E126" s="32">
        <v>0</v>
      </c>
      <c r="F126" s="32">
        <v>0</v>
      </c>
      <c r="G126" s="36">
        <v>659.72</v>
      </c>
      <c r="H126" s="37">
        <v>355.25</v>
      </c>
      <c r="I126" s="32">
        <v>0</v>
      </c>
      <c r="J126" s="95"/>
      <c r="K126"/>
    </row>
    <row r="127" spans="1:11">
      <c r="A127" s="19" t="s">
        <v>974</v>
      </c>
      <c r="B127" s="19"/>
      <c r="C127" s="19" t="s">
        <v>975</v>
      </c>
      <c r="D127" s="19"/>
      <c r="E127" s="32">
        <v>0</v>
      </c>
      <c r="F127" s="32">
        <v>0</v>
      </c>
      <c r="G127" s="36">
        <v>2189.46</v>
      </c>
      <c r="H127" s="37">
        <f>2189.46</f>
        <v>2189.46</v>
      </c>
      <c r="I127" s="32"/>
      <c r="J127" s="95"/>
      <c r="K127"/>
    </row>
    <row r="128" spans="1:11">
      <c r="A128" s="19" t="s">
        <v>201</v>
      </c>
      <c r="B128" s="19"/>
      <c r="C128" s="19" t="s">
        <v>197</v>
      </c>
      <c r="D128" s="19"/>
      <c r="E128" s="32">
        <v>0</v>
      </c>
      <c r="F128" s="32">
        <v>0</v>
      </c>
      <c r="G128" s="36">
        <v>25845.4</v>
      </c>
      <c r="H128" s="37">
        <v>25809.93</v>
      </c>
      <c r="I128" s="32">
        <v>0</v>
      </c>
      <c r="J128" s="95"/>
      <c r="K128"/>
    </row>
    <row r="129" spans="1:11">
      <c r="A129" s="19" t="s">
        <v>977</v>
      </c>
      <c r="B129" s="19"/>
      <c r="C129" s="19" t="s">
        <v>976</v>
      </c>
      <c r="D129" s="19"/>
      <c r="E129" s="32">
        <v>0</v>
      </c>
      <c r="F129" s="32">
        <v>0</v>
      </c>
      <c r="G129" s="36">
        <v>1200</v>
      </c>
      <c r="H129" s="37">
        <v>1200</v>
      </c>
      <c r="I129" s="32"/>
      <c r="J129" s="95"/>
      <c r="K129"/>
    </row>
    <row r="130" spans="1:11">
      <c r="A130" s="19" t="s">
        <v>202</v>
      </c>
      <c r="B130" s="19"/>
      <c r="C130" s="19" t="s">
        <v>198</v>
      </c>
      <c r="D130" s="19"/>
      <c r="E130" s="32">
        <v>0</v>
      </c>
      <c r="F130" s="32">
        <v>0</v>
      </c>
      <c r="G130" s="36">
        <v>0</v>
      </c>
      <c r="H130" s="37">
        <v>0</v>
      </c>
      <c r="I130" s="32">
        <v>0</v>
      </c>
      <c r="J130" s="95"/>
      <c r="K130"/>
    </row>
    <row r="131" spans="1:11" s="3" customFormat="1" ht="15.75" thickBot="1">
      <c r="A131" s="41"/>
      <c r="B131" s="41"/>
      <c r="C131" s="41" t="s">
        <v>812</v>
      </c>
      <c r="D131" s="41"/>
      <c r="E131" s="167">
        <f>SUM(E126:E130)</f>
        <v>0</v>
      </c>
      <c r="F131" s="167">
        <f t="shared" ref="F131:I131" si="17">SUM(F126:F130)</f>
        <v>0</v>
      </c>
      <c r="G131" s="167">
        <f t="shared" si="17"/>
        <v>29894.58</v>
      </c>
      <c r="H131" s="167">
        <f t="shared" si="17"/>
        <v>29554.639999999999</v>
      </c>
      <c r="I131" s="167">
        <f t="shared" si="17"/>
        <v>0</v>
      </c>
      <c r="J131" s="164"/>
    </row>
    <row r="132" spans="1:11" s="3" customFormat="1" ht="15.75" thickTop="1">
      <c r="A132" s="41"/>
      <c r="B132" s="41"/>
      <c r="C132" s="41"/>
      <c r="D132" s="41"/>
      <c r="E132" s="169"/>
      <c r="F132" s="169"/>
      <c r="G132" s="169"/>
      <c r="H132" s="169"/>
      <c r="I132" s="169"/>
      <c r="J132" s="164"/>
    </row>
    <row r="133" spans="1:11">
      <c r="A133" s="19"/>
      <c r="B133" s="19"/>
      <c r="C133" s="19"/>
      <c r="D133" s="19"/>
      <c r="E133" s="82"/>
      <c r="F133" s="82"/>
      <c r="G133" s="82"/>
      <c r="H133" s="82"/>
      <c r="I133" s="82"/>
      <c r="J133" s="95"/>
      <c r="K133"/>
    </row>
    <row r="134" spans="1:11" s="3" customFormat="1" ht="15.75" thickBot="1">
      <c r="A134" s="202" t="s">
        <v>858</v>
      </c>
      <c r="B134" s="202"/>
      <c r="C134" s="202"/>
      <c r="D134" s="41"/>
      <c r="E134" s="171">
        <f>E22+E27+E42+E73+E79+E87+E99+E106+E113+E122+E131</f>
        <v>2387096</v>
      </c>
      <c r="F134" s="171">
        <f t="shared" ref="F134:I134" si="18">F22+F27+F42+F73+F79+F87+F99+F106+F113+F122+F131</f>
        <v>0</v>
      </c>
      <c r="G134" s="171">
        <f t="shared" si="18"/>
        <v>2645816.62</v>
      </c>
      <c r="H134" s="171">
        <f t="shared" si="18"/>
        <v>2858170.28</v>
      </c>
      <c r="I134" s="171">
        <f t="shared" si="18"/>
        <v>2710445</v>
      </c>
      <c r="J134" s="164"/>
    </row>
    <row r="135" spans="1:11" ht="15.75" thickTop="1">
      <c r="A135" s="202" t="s">
        <v>765</v>
      </c>
      <c r="B135" s="202"/>
      <c r="C135" s="202"/>
      <c r="D135" s="202"/>
      <c r="E135" s="202"/>
      <c r="F135" s="202"/>
      <c r="G135" s="202"/>
      <c r="H135" s="202"/>
      <c r="I135" s="202"/>
      <c r="J135" s="202"/>
      <c r="K135"/>
    </row>
    <row r="136" spans="1:11">
      <c r="A136" s="19"/>
      <c r="B136" s="19"/>
      <c r="C136" s="19"/>
      <c r="D136" s="19"/>
      <c r="E136" s="20"/>
      <c r="F136" s="20"/>
      <c r="G136" s="20"/>
      <c r="I136" s="20"/>
      <c r="J136" s="168"/>
    </row>
    <row r="137" spans="1:11">
      <c r="A137" s="201" t="s">
        <v>986</v>
      </c>
      <c r="B137" s="201"/>
      <c r="C137" s="201"/>
      <c r="D137" s="201"/>
      <c r="E137" s="201"/>
      <c r="F137" s="201"/>
      <c r="G137" s="201"/>
      <c r="H137" s="201"/>
      <c r="I137" s="201"/>
      <c r="J137" s="201"/>
      <c r="K137"/>
    </row>
    <row r="138" spans="1:11">
      <c r="A138" s="19" t="s">
        <v>13</v>
      </c>
      <c r="B138" s="19"/>
      <c r="C138" s="19" t="s">
        <v>204</v>
      </c>
      <c r="D138" s="19"/>
      <c r="E138" s="32" t="s">
        <v>13</v>
      </c>
      <c r="F138" s="32"/>
      <c r="G138" s="32" t="s">
        <v>13</v>
      </c>
      <c r="H138" s="37" t="s">
        <v>13</v>
      </c>
      <c r="I138" s="32" t="s">
        <v>13</v>
      </c>
      <c r="J138" s="95"/>
      <c r="K138"/>
    </row>
    <row r="139" spans="1:11">
      <c r="A139" s="19" t="s">
        <v>987</v>
      </c>
      <c r="B139" s="19"/>
      <c r="C139" s="19" t="s">
        <v>991</v>
      </c>
      <c r="D139" s="19"/>
      <c r="E139" s="32">
        <v>0</v>
      </c>
      <c r="F139" s="32">
        <v>0</v>
      </c>
      <c r="G139" s="32">
        <v>0</v>
      </c>
      <c r="H139" s="37">
        <v>0</v>
      </c>
      <c r="I139" s="32">
        <v>0</v>
      </c>
      <c r="J139" s="95"/>
      <c r="K139"/>
    </row>
    <row r="140" spans="1:11">
      <c r="A140" s="19" t="s">
        <v>993</v>
      </c>
      <c r="B140" s="19"/>
      <c r="C140" s="19" t="s">
        <v>992</v>
      </c>
      <c r="D140" s="19"/>
      <c r="E140" s="32">
        <v>0</v>
      </c>
      <c r="F140" s="32">
        <v>0</v>
      </c>
      <c r="G140" s="32">
        <v>0</v>
      </c>
      <c r="H140" s="37">
        <v>0</v>
      </c>
      <c r="I140" s="32">
        <v>0</v>
      </c>
      <c r="J140" s="95"/>
      <c r="K140"/>
    </row>
    <row r="141" spans="1:11" ht="15.75" thickBot="1">
      <c r="A141" s="19"/>
      <c r="B141" s="19"/>
      <c r="C141" s="19" t="s">
        <v>820</v>
      </c>
      <c r="D141" s="19"/>
      <c r="E141" s="172">
        <f>SUM(E139:E140)</f>
        <v>0</v>
      </c>
      <c r="F141" s="172">
        <f t="shared" ref="F141:I141" si="19">SUM(F139:F140)</f>
        <v>0</v>
      </c>
      <c r="G141" s="172">
        <f t="shared" si="19"/>
        <v>0</v>
      </c>
      <c r="H141" s="172">
        <f t="shared" si="19"/>
        <v>0</v>
      </c>
      <c r="I141" s="172">
        <f t="shared" si="19"/>
        <v>0</v>
      </c>
      <c r="J141" s="95"/>
      <c r="K141"/>
    </row>
    <row r="142" spans="1:11" ht="15.75" thickTop="1">
      <c r="A142" s="19" t="s">
        <v>13</v>
      </c>
      <c r="B142" s="19"/>
      <c r="C142" s="19" t="s">
        <v>13</v>
      </c>
      <c r="D142" s="19"/>
      <c r="E142" s="32" t="s">
        <v>13</v>
      </c>
      <c r="F142" s="32" t="s">
        <v>13</v>
      </c>
      <c r="G142" s="32" t="s">
        <v>13</v>
      </c>
      <c r="H142" s="37" t="s">
        <v>13</v>
      </c>
      <c r="I142" s="32" t="s">
        <v>13</v>
      </c>
      <c r="J142" s="95"/>
      <c r="K142"/>
    </row>
    <row r="143" spans="1:11" s="3" customFormat="1" ht="15.75" thickBot="1">
      <c r="A143" s="41"/>
      <c r="B143" s="41"/>
      <c r="C143" s="41" t="s">
        <v>814</v>
      </c>
      <c r="D143" s="41"/>
      <c r="E143" s="167">
        <f>E141</f>
        <v>0</v>
      </c>
      <c r="F143" s="167">
        <f t="shared" ref="F143:I143" si="20">F141</f>
        <v>0</v>
      </c>
      <c r="G143" s="167">
        <f t="shared" si="20"/>
        <v>0</v>
      </c>
      <c r="H143" s="167">
        <f t="shared" si="20"/>
        <v>0</v>
      </c>
      <c r="I143" s="167">
        <f t="shared" si="20"/>
        <v>0</v>
      </c>
      <c r="J143" s="164"/>
    </row>
    <row r="144" spans="1:11" ht="15.75" thickTop="1">
      <c r="A144" s="19"/>
      <c r="B144" s="19"/>
      <c r="C144" s="19"/>
      <c r="D144" s="19"/>
      <c r="E144" s="20"/>
      <c r="F144" s="20"/>
      <c r="G144" s="20"/>
      <c r="I144" s="20"/>
      <c r="J144" s="95"/>
      <c r="K144"/>
    </row>
    <row r="145" spans="1:11">
      <c r="A145" s="19" t="s">
        <v>13</v>
      </c>
      <c r="B145" s="19"/>
      <c r="C145" s="19" t="s">
        <v>212</v>
      </c>
      <c r="D145" s="19"/>
      <c r="E145" s="32" t="s">
        <v>13</v>
      </c>
      <c r="F145" s="32"/>
      <c r="G145" s="32" t="s">
        <v>13</v>
      </c>
      <c r="H145" s="37" t="s">
        <v>13</v>
      </c>
      <c r="I145" s="32" t="s">
        <v>13</v>
      </c>
      <c r="J145" s="95"/>
      <c r="K145"/>
    </row>
    <row r="146" spans="1:11">
      <c r="A146" s="19" t="s">
        <v>988</v>
      </c>
      <c r="B146" s="19"/>
      <c r="C146" s="19" t="s">
        <v>989</v>
      </c>
      <c r="D146" s="19"/>
      <c r="E146" s="32">
        <v>0</v>
      </c>
      <c r="F146" s="32">
        <v>0</v>
      </c>
      <c r="G146" s="32">
        <v>31535.98</v>
      </c>
      <c r="H146" s="32">
        <v>31535.98</v>
      </c>
      <c r="I146" s="32">
        <v>0</v>
      </c>
      <c r="J146" s="98"/>
      <c r="K146"/>
    </row>
    <row r="147" spans="1:11" s="3" customFormat="1" ht="15.75" thickBot="1">
      <c r="A147" s="41"/>
      <c r="B147" s="41"/>
      <c r="C147" s="41" t="s">
        <v>817</v>
      </c>
      <c r="D147" s="41"/>
      <c r="E147" s="167">
        <f>SUM(E146:E146)</f>
        <v>0</v>
      </c>
      <c r="F147" s="167">
        <f t="shared" ref="F147:I147" si="21">SUM(F146:F146)</f>
        <v>0</v>
      </c>
      <c r="G147" s="167">
        <f t="shared" si="21"/>
        <v>31535.98</v>
      </c>
      <c r="H147" s="167">
        <f t="shared" si="21"/>
        <v>31535.98</v>
      </c>
      <c r="I147" s="167">
        <f t="shared" si="21"/>
        <v>0</v>
      </c>
      <c r="J147" s="173"/>
    </row>
    <row r="148" spans="1:11" ht="15.75" thickTop="1">
      <c r="A148" s="19"/>
      <c r="B148" s="19"/>
      <c r="C148" s="19"/>
      <c r="D148" s="19"/>
      <c r="E148" s="20"/>
      <c r="F148" s="20"/>
      <c r="G148" s="20"/>
      <c r="I148" s="20"/>
      <c r="J148" s="98"/>
      <c r="K148"/>
    </row>
    <row r="149" spans="1:11" s="3" customFormat="1" ht="15.75" thickBot="1">
      <c r="A149" s="41"/>
      <c r="B149" s="41"/>
      <c r="C149" s="41" t="s">
        <v>990</v>
      </c>
      <c r="D149" s="41"/>
      <c r="E149" s="171">
        <f>E143+E147</f>
        <v>0</v>
      </c>
      <c r="F149" s="171">
        <f>F143+F147</f>
        <v>0</v>
      </c>
      <c r="G149" s="171">
        <f t="shared" ref="G149:I149" si="22">G143+G147</f>
        <v>31535.98</v>
      </c>
      <c r="H149" s="171">
        <f t="shared" si="22"/>
        <v>31535.98</v>
      </c>
      <c r="I149" s="171">
        <f t="shared" si="22"/>
        <v>0</v>
      </c>
      <c r="J149" s="173"/>
    </row>
    <row r="150" spans="1:11" ht="15.75" thickTop="1">
      <c r="A150" s="19"/>
      <c r="B150" s="19"/>
      <c r="C150" s="19"/>
      <c r="D150" s="19"/>
      <c r="E150" s="20"/>
      <c r="F150" s="20"/>
      <c r="G150" s="20"/>
      <c r="I150" s="20"/>
      <c r="J150" s="168"/>
    </row>
    <row r="151" spans="1:11">
      <c r="A151" s="19"/>
      <c r="B151" s="19"/>
      <c r="C151" s="19"/>
      <c r="D151" s="19"/>
      <c r="E151" s="20"/>
      <c r="F151" s="20"/>
      <c r="G151" s="20"/>
      <c r="I151" s="20"/>
      <c r="J151" s="168"/>
    </row>
    <row r="152" spans="1:11">
      <c r="A152" s="201" t="s">
        <v>203</v>
      </c>
      <c r="B152" s="201"/>
      <c r="C152" s="201"/>
      <c r="D152" s="201"/>
      <c r="E152" s="201"/>
      <c r="F152" s="201"/>
      <c r="G152" s="201"/>
      <c r="H152" s="201"/>
      <c r="I152" s="201"/>
      <c r="J152" s="201"/>
      <c r="K152"/>
    </row>
    <row r="153" spans="1:11">
      <c r="A153" s="19" t="s">
        <v>13</v>
      </c>
      <c r="B153" s="19"/>
      <c r="C153" s="19" t="s">
        <v>204</v>
      </c>
      <c r="D153" s="19"/>
      <c r="E153" s="32" t="s">
        <v>13</v>
      </c>
      <c r="F153" s="32"/>
      <c r="G153" s="32" t="s">
        <v>13</v>
      </c>
      <c r="H153" s="37" t="s">
        <v>13</v>
      </c>
      <c r="I153" s="32" t="s">
        <v>13</v>
      </c>
      <c r="J153" s="95"/>
      <c r="K153"/>
    </row>
    <row r="154" spans="1:11">
      <c r="A154" s="19" t="s">
        <v>860</v>
      </c>
      <c r="B154" s="19"/>
      <c r="C154" s="19" t="s">
        <v>861</v>
      </c>
      <c r="D154" s="19"/>
      <c r="E154" s="32">
        <v>0</v>
      </c>
      <c r="F154" s="32">
        <v>0</v>
      </c>
      <c r="G154" s="32">
        <v>0</v>
      </c>
      <c r="H154" s="37">
        <v>0</v>
      </c>
      <c r="I154" s="32">
        <v>0</v>
      </c>
      <c r="J154" s="95"/>
      <c r="K154"/>
    </row>
    <row r="155" spans="1:11" ht="15.75" thickBot="1">
      <c r="A155" s="19"/>
      <c r="B155" s="19"/>
      <c r="C155" s="19" t="s">
        <v>820</v>
      </c>
      <c r="D155" s="19"/>
      <c r="E155" s="172">
        <f>SUM(E154)</f>
        <v>0</v>
      </c>
      <c r="F155" s="172">
        <f t="shared" ref="F155:I155" si="23">SUM(F154)</f>
        <v>0</v>
      </c>
      <c r="G155" s="172">
        <f t="shared" si="23"/>
        <v>0</v>
      </c>
      <c r="H155" s="172">
        <f t="shared" si="23"/>
        <v>0</v>
      </c>
      <c r="I155" s="172">
        <f t="shared" si="23"/>
        <v>0</v>
      </c>
      <c r="J155" s="95"/>
      <c r="K155"/>
    </row>
    <row r="156" spans="1:11" ht="15.75" thickTop="1">
      <c r="A156" s="19" t="s">
        <v>13</v>
      </c>
      <c r="B156" s="19"/>
      <c r="C156" s="19" t="s">
        <v>13</v>
      </c>
      <c r="D156" s="19"/>
      <c r="E156" s="32" t="s">
        <v>13</v>
      </c>
      <c r="F156" s="32" t="s">
        <v>13</v>
      </c>
      <c r="G156" s="32" t="s">
        <v>13</v>
      </c>
      <c r="H156" s="37" t="s">
        <v>13</v>
      </c>
      <c r="I156" s="32" t="s">
        <v>13</v>
      </c>
      <c r="J156" s="95"/>
      <c r="K156"/>
    </row>
    <row r="157" spans="1:11">
      <c r="A157" s="19" t="s">
        <v>13</v>
      </c>
      <c r="B157" s="19"/>
      <c r="C157" s="19" t="s">
        <v>205</v>
      </c>
      <c r="D157" s="19"/>
      <c r="E157" s="32" t="s">
        <v>13</v>
      </c>
      <c r="F157" s="32" t="s">
        <v>13</v>
      </c>
      <c r="G157" s="32" t="s">
        <v>13</v>
      </c>
      <c r="H157" s="37" t="s">
        <v>13</v>
      </c>
      <c r="I157" s="32" t="s">
        <v>13</v>
      </c>
      <c r="J157" s="95"/>
      <c r="K157"/>
    </row>
    <row r="158" spans="1:11">
      <c r="A158" s="19" t="s">
        <v>206</v>
      </c>
      <c r="B158" s="19"/>
      <c r="C158" s="19" t="s">
        <v>215</v>
      </c>
      <c r="D158" s="19"/>
      <c r="E158" s="32">
        <v>0</v>
      </c>
      <c r="F158" s="32">
        <v>0</v>
      </c>
      <c r="G158" s="32">
        <v>0</v>
      </c>
      <c r="H158" s="37">
        <v>0</v>
      </c>
      <c r="I158" s="32">
        <v>0</v>
      </c>
      <c r="J158" s="95"/>
      <c r="K158"/>
    </row>
    <row r="159" spans="1:11" ht="15.75" thickBot="1">
      <c r="A159" s="19" t="s">
        <v>13</v>
      </c>
      <c r="B159" s="19"/>
      <c r="C159" s="19" t="s">
        <v>821</v>
      </c>
      <c r="D159" s="19"/>
      <c r="E159" s="172">
        <f>SUM(E158)</f>
        <v>0</v>
      </c>
      <c r="F159" s="172">
        <f t="shared" ref="F159:I159" si="24">SUM(F158)</f>
        <v>0</v>
      </c>
      <c r="G159" s="172">
        <f t="shared" si="24"/>
        <v>0</v>
      </c>
      <c r="H159" s="172">
        <f t="shared" si="24"/>
        <v>0</v>
      </c>
      <c r="I159" s="172">
        <f t="shared" si="24"/>
        <v>0</v>
      </c>
      <c r="J159" s="95"/>
      <c r="K159"/>
    </row>
    <row r="160" spans="1:11" ht="16.5" thickTop="1" thickBot="1">
      <c r="A160" s="19"/>
      <c r="B160" s="19"/>
      <c r="C160" s="19"/>
      <c r="D160" s="19"/>
      <c r="E160" s="172"/>
      <c r="F160" s="172"/>
      <c r="G160" s="172"/>
      <c r="H160" s="172"/>
      <c r="I160" s="172"/>
      <c r="J160" s="95"/>
      <c r="K160"/>
    </row>
    <row r="161" spans="1:11" s="3" customFormat="1" ht="16.5" thickTop="1" thickBot="1">
      <c r="A161" s="41"/>
      <c r="B161" s="41"/>
      <c r="C161" s="41" t="s">
        <v>814</v>
      </c>
      <c r="D161" s="41"/>
      <c r="E161" s="167">
        <f>E155+E159</f>
        <v>0</v>
      </c>
      <c r="F161" s="167">
        <f t="shared" ref="F161:I161" si="25">F155+F159</f>
        <v>0</v>
      </c>
      <c r="G161" s="167">
        <f t="shared" si="25"/>
        <v>0</v>
      </c>
      <c r="H161" s="167">
        <f t="shared" si="25"/>
        <v>0</v>
      </c>
      <c r="I161" s="167">
        <f t="shared" si="25"/>
        <v>0</v>
      </c>
      <c r="J161" s="164"/>
    </row>
    <row r="162" spans="1:11" ht="15.75" thickTop="1">
      <c r="A162" s="19"/>
      <c r="B162" s="19"/>
      <c r="C162" s="19"/>
      <c r="D162" s="19"/>
      <c r="E162" s="20"/>
      <c r="F162" s="20"/>
      <c r="G162" s="20"/>
      <c r="I162" s="20"/>
      <c r="J162" s="95"/>
      <c r="K162"/>
    </row>
    <row r="163" spans="1:11">
      <c r="A163" s="19" t="s">
        <v>13</v>
      </c>
      <c r="B163" s="19"/>
      <c r="C163" s="19" t="s">
        <v>207</v>
      </c>
      <c r="D163" s="19"/>
      <c r="E163" s="32" t="s">
        <v>13</v>
      </c>
      <c r="F163" s="32"/>
      <c r="G163" s="32" t="s">
        <v>13</v>
      </c>
      <c r="H163" s="37" t="s">
        <v>13</v>
      </c>
      <c r="I163" s="32" t="s">
        <v>13</v>
      </c>
      <c r="J163" s="95"/>
      <c r="K163"/>
    </row>
    <row r="164" spans="1:11">
      <c r="A164" s="19" t="s">
        <v>790</v>
      </c>
      <c r="B164" s="19"/>
      <c r="C164" s="19" t="s">
        <v>208</v>
      </c>
      <c r="D164" s="19"/>
      <c r="E164" s="32">
        <v>3000</v>
      </c>
      <c r="F164" s="32">
        <v>0</v>
      </c>
      <c r="G164" s="32">
        <v>149.22</v>
      </c>
      <c r="H164" s="32">
        <v>149.22</v>
      </c>
      <c r="I164" s="32">
        <v>1000</v>
      </c>
      <c r="J164" s="98"/>
      <c r="K164"/>
    </row>
    <row r="165" spans="1:11" s="3" customFormat="1" ht="15.75" thickBot="1">
      <c r="A165" s="41"/>
      <c r="B165" s="41"/>
      <c r="C165" s="41" t="s">
        <v>815</v>
      </c>
      <c r="D165" s="41"/>
      <c r="E165" s="167">
        <f>SUM(E164:E164)</f>
        <v>3000</v>
      </c>
      <c r="F165" s="167">
        <f t="shared" ref="F165:I165" si="26">SUM(F164:F164)</f>
        <v>0</v>
      </c>
      <c r="G165" s="167">
        <f t="shared" si="26"/>
        <v>149.22</v>
      </c>
      <c r="H165" s="167">
        <f t="shared" si="26"/>
        <v>149.22</v>
      </c>
      <c r="I165" s="167">
        <f t="shared" si="26"/>
        <v>1000</v>
      </c>
      <c r="J165" s="173"/>
    </row>
    <row r="166" spans="1:11" ht="15.75" thickTop="1">
      <c r="A166" s="19"/>
      <c r="B166" s="19"/>
      <c r="C166" s="19"/>
      <c r="D166" s="19"/>
      <c r="E166" s="20"/>
      <c r="F166" s="20"/>
      <c r="G166" s="20"/>
      <c r="I166" s="20"/>
      <c r="J166" s="98"/>
      <c r="K166"/>
    </row>
    <row r="167" spans="1:11" s="3" customFormat="1" ht="15.75" thickBot="1">
      <c r="A167" s="41"/>
      <c r="B167" s="41"/>
      <c r="C167" s="41" t="s">
        <v>813</v>
      </c>
      <c r="D167" s="41"/>
      <c r="E167" s="171">
        <f>E161+E165</f>
        <v>3000</v>
      </c>
      <c r="F167" s="171">
        <f t="shared" ref="F167:I167" si="27">F161+F165</f>
        <v>0</v>
      </c>
      <c r="G167" s="171">
        <f t="shared" si="27"/>
        <v>149.22</v>
      </c>
      <c r="H167" s="171">
        <f t="shared" si="27"/>
        <v>149.22</v>
      </c>
      <c r="I167" s="171">
        <f t="shared" si="27"/>
        <v>1000</v>
      </c>
      <c r="J167" s="173"/>
    </row>
    <row r="168" spans="1:11" ht="15.75" thickTop="1">
      <c r="A168" s="19"/>
      <c r="B168" s="19"/>
      <c r="C168" s="19"/>
      <c r="D168" s="19"/>
      <c r="E168" s="20"/>
      <c r="F168" s="20"/>
      <c r="G168" s="20"/>
      <c r="I168" s="20"/>
      <c r="J168" s="168"/>
    </row>
    <row r="169" spans="1:11">
      <c r="A169" s="19"/>
      <c r="B169" s="19"/>
      <c r="C169" s="19"/>
      <c r="D169" s="19"/>
      <c r="E169" s="20"/>
      <c r="F169" s="20"/>
      <c r="G169" s="20"/>
      <c r="I169" s="20"/>
      <c r="J169" s="168"/>
    </row>
    <row r="170" spans="1:11">
      <c r="A170" s="201" t="s">
        <v>725</v>
      </c>
      <c r="B170" s="201"/>
      <c r="C170" s="201"/>
      <c r="D170" s="201"/>
      <c r="E170" s="201"/>
      <c r="F170" s="201"/>
      <c r="G170" s="201"/>
      <c r="H170" s="201"/>
      <c r="I170" s="201"/>
      <c r="J170" s="201"/>
      <c r="K170"/>
    </row>
    <row r="171" spans="1:11">
      <c r="A171" s="19" t="s">
        <v>13</v>
      </c>
      <c r="B171" s="19"/>
      <c r="C171" s="19" t="s">
        <v>204</v>
      </c>
      <c r="D171" s="19"/>
      <c r="E171" s="32" t="s">
        <v>13</v>
      </c>
      <c r="F171" s="32" t="s">
        <v>13</v>
      </c>
      <c r="G171" s="32" t="s">
        <v>13</v>
      </c>
      <c r="H171" s="37" t="s">
        <v>13</v>
      </c>
      <c r="I171" s="32" t="s">
        <v>13</v>
      </c>
      <c r="J171" s="168"/>
    </row>
    <row r="172" spans="1:11">
      <c r="A172" s="19" t="s">
        <v>213</v>
      </c>
      <c r="B172" s="19"/>
      <c r="C172" s="19" t="s">
        <v>862</v>
      </c>
      <c r="D172" s="19"/>
      <c r="E172" s="32">
        <v>4750</v>
      </c>
      <c r="F172" s="32">
        <v>0</v>
      </c>
      <c r="G172" s="32">
        <v>3385.87</v>
      </c>
      <c r="H172" s="32">
        <f>(G172/24)*26</f>
        <v>3668.0258333333331</v>
      </c>
      <c r="I172" s="32">
        <v>6500</v>
      </c>
      <c r="J172" s="168"/>
    </row>
    <row r="173" spans="1:11" ht="15.75" thickBot="1">
      <c r="A173" s="19"/>
      <c r="B173" s="19"/>
      <c r="C173" s="19" t="s">
        <v>820</v>
      </c>
      <c r="D173" s="19"/>
      <c r="E173" s="172">
        <f>SUM(E172)</f>
        <v>4750</v>
      </c>
      <c r="F173" s="172">
        <f t="shared" ref="F173:I173" si="28">SUM(F172)</f>
        <v>0</v>
      </c>
      <c r="G173" s="172">
        <f t="shared" si="28"/>
        <v>3385.87</v>
      </c>
      <c r="H173" s="172">
        <f t="shared" si="28"/>
        <v>3668.0258333333331</v>
      </c>
      <c r="I173" s="172">
        <f t="shared" si="28"/>
        <v>6500</v>
      </c>
      <c r="J173" s="95"/>
      <c r="K173"/>
    </row>
    <row r="174" spans="1:11" ht="15.75" thickTop="1">
      <c r="A174" s="19"/>
      <c r="B174" s="19"/>
      <c r="C174" s="19"/>
      <c r="D174" s="19"/>
      <c r="E174" s="32"/>
      <c r="F174" s="32"/>
      <c r="G174" s="32"/>
      <c r="H174" s="37"/>
      <c r="I174" s="32"/>
      <c r="J174" s="168"/>
    </row>
    <row r="175" spans="1:11">
      <c r="A175" s="19"/>
      <c r="B175" s="19"/>
      <c r="C175" s="19" t="s">
        <v>205</v>
      </c>
      <c r="D175" s="19"/>
      <c r="E175" s="32"/>
      <c r="F175" s="32"/>
      <c r="G175" s="32"/>
      <c r="H175" s="37"/>
      <c r="I175" s="32"/>
      <c r="J175" s="168"/>
    </row>
    <row r="176" spans="1:11">
      <c r="A176" s="19" t="s">
        <v>214</v>
      </c>
      <c r="B176" s="19"/>
      <c r="C176" s="19" t="s">
        <v>215</v>
      </c>
      <c r="D176" s="19"/>
      <c r="E176" s="32">
        <v>363</v>
      </c>
      <c r="F176" s="32">
        <v>0</v>
      </c>
      <c r="G176" s="32">
        <v>258.99</v>
      </c>
      <c r="H176" s="32">
        <f>H172*0.0765</f>
        <v>280.60397624999996</v>
      </c>
      <c r="I176" s="32">
        <f>I172*0.0765</f>
        <v>497.25</v>
      </c>
      <c r="J176" s="95"/>
      <c r="K176"/>
    </row>
    <row r="177" spans="1:11" ht="15.75" thickBot="1">
      <c r="A177" s="19" t="s">
        <v>13</v>
      </c>
      <c r="B177" s="19"/>
      <c r="C177" s="19" t="s">
        <v>821</v>
      </c>
      <c r="D177" s="19"/>
      <c r="E177" s="172">
        <f>SUM(E176)</f>
        <v>363</v>
      </c>
      <c r="F177" s="172">
        <f t="shared" ref="F177:I177" si="29">SUM(F176)</f>
        <v>0</v>
      </c>
      <c r="G177" s="172">
        <f t="shared" si="29"/>
        <v>258.99</v>
      </c>
      <c r="H177" s="172">
        <f t="shared" si="29"/>
        <v>280.60397624999996</v>
      </c>
      <c r="I177" s="172">
        <f t="shared" si="29"/>
        <v>497.25</v>
      </c>
      <c r="J177" s="95"/>
      <c r="K177"/>
    </row>
    <row r="178" spans="1:11" ht="16.5" thickTop="1" thickBot="1">
      <c r="A178" s="19"/>
      <c r="B178" s="19"/>
      <c r="C178" s="19"/>
      <c r="D178" s="19"/>
      <c r="E178" s="172"/>
      <c r="F178" s="172"/>
      <c r="G178" s="172"/>
      <c r="H178" s="172"/>
      <c r="I178" s="172"/>
      <c r="J178" s="95"/>
      <c r="K178"/>
    </row>
    <row r="179" spans="1:11" s="3" customFormat="1" ht="16.5" thickTop="1" thickBot="1">
      <c r="A179" s="41"/>
      <c r="B179" s="41"/>
      <c r="C179" s="41" t="s">
        <v>814</v>
      </c>
      <c r="D179" s="41"/>
      <c r="E179" s="167">
        <f>E173+E177</f>
        <v>5113</v>
      </c>
      <c r="F179" s="167">
        <f t="shared" ref="F179:I179" si="30">F173+F177</f>
        <v>0</v>
      </c>
      <c r="G179" s="167">
        <f t="shared" si="30"/>
        <v>3644.8599999999997</v>
      </c>
      <c r="H179" s="167">
        <f t="shared" si="30"/>
        <v>3948.6298095833331</v>
      </c>
      <c r="I179" s="167">
        <f t="shared" si="30"/>
        <v>6997.25</v>
      </c>
      <c r="J179" s="164"/>
    </row>
    <row r="180" spans="1:11" ht="15.75" thickTop="1">
      <c r="A180" s="19"/>
      <c r="B180" s="19"/>
      <c r="C180" s="19"/>
      <c r="D180" s="19"/>
      <c r="E180" s="20"/>
      <c r="F180" s="20"/>
      <c r="G180" s="20"/>
      <c r="I180" s="20"/>
      <c r="J180" s="168"/>
    </row>
    <row r="181" spans="1:11">
      <c r="A181" s="19"/>
      <c r="B181" s="19"/>
      <c r="C181" s="19" t="s">
        <v>210</v>
      </c>
      <c r="D181" s="19"/>
      <c r="E181" s="20"/>
      <c r="F181" s="20"/>
      <c r="G181" s="20"/>
      <c r="I181" s="20"/>
      <c r="J181" s="168"/>
    </row>
    <row r="182" spans="1:11">
      <c r="A182" s="19" t="s">
        <v>1126</v>
      </c>
      <c r="B182" s="19"/>
      <c r="C182" s="19" t="s">
        <v>217</v>
      </c>
      <c r="D182" s="19"/>
      <c r="E182" s="32">
        <v>4800</v>
      </c>
      <c r="F182" s="32">
        <v>0</v>
      </c>
      <c r="G182" s="32">
        <v>4000</v>
      </c>
      <c r="H182" s="37">
        <v>4800</v>
      </c>
      <c r="I182" s="32">
        <v>4800</v>
      </c>
      <c r="J182" s="95"/>
      <c r="K182"/>
    </row>
    <row r="183" spans="1:11" s="3" customFormat="1" ht="15.75" thickBot="1">
      <c r="A183" s="41"/>
      <c r="B183" s="41"/>
      <c r="C183" s="41" t="s">
        <v>816</v>
      </c>
      <c r="D183" s="41"/>
      <c r="E183" s="167">
        <f>SUM(E182:E182)</f>
        <v>4800</v>
      </c>
      <c r="F183" s="167">
        <f>SUM(F182:F182)</f>
        <v>0</v>
      </c>
      <c r="G183" s="167">
        <f>SUM(G182:G182)</f>
        <v>4000</v>
      </c>
      <c r="H183" s="167">
        <f>SUM(H182:H182)</f>
        <v>4800</v>
      </c>
      <c r="I183" s="167">
        <f>SUM(I182:I182)</f>
        <v>4800</v>
      </c>
      <c r="J183" s="164"/>
    </row>
    <row r="184" spans="1:11" ht="15.75" thickTop="1">
      <c r="A184" s="19"/>
      <c r="B184" s="19"/>
      <c r="C184" s="19"/>
      <c r="D184" s="19"/>
      <c r="E184" s="20"/>
      <c r="F184" s="20"/>
      <c r="G184" s="20"/>
      <c r="I184" s="20"/>
      <c r="J184" s="168"/>
    </row>
    <row r="185" spans="1:11">
      <c r="A185" s="19"/>
      <c r="B185" s="19"/>
      <c r="C185" s="19" t="s">
        <v>380</v>
      </c>
      <c r="D185" s="19"/>
      <c r="E185" s="20"/>
      <c r="F185" s="20"/>
      <c r="G185" s="20"/>
      <c r="I185" s="20"/>
      <c r="J185" s="168"/>
    </row>
    <row r="186" spans="1:11">
      <c r="A186" s="19" t="s">
        <v>1052</v>
      </c>
      <c r="B186" s="19"/>
      <c r="C186" s="19" t="s">
        <v>216</v>
      </c>
      <c r="D186" s="19"/>
      <c r="E186" s="32">
        <v>50</v>
      </c>
      <c r="F186" s="32">
        <v>0</v>
      </c>
      <c r="G186" s="32">
        <v>0</v>
      </c>
      <c r="H186" s="37">
        <v>0</v>
      </c>
      <c r="I186" s="32">
        <v>0</v>
      </c>
      <c r="J186" s="95"/>
      <c r="K186"/>
    </row>
    <row r="187" spans="1:11" s="3" customFormat="1" ht="15.75" thickBot="1">
      <c r="A187" s="41"/>
      <c r="B187" s="41"/>
      <c r="C187" s="41" t="s">
        <v>1060</v>
      </c>
      <c r="D187" s="41"/>
      <c r="E187" s="167">
        <f t="shared" ref="E187:I187" si="31">SUM(E186)</f>
        <v>50</v>
      </c>
      <c r="F187" s="167">
        <f t="shared" si="31"/>
        <v>0</v>
      </c>
      <c r="G187" s="167">
        <f t="shared" si="31"/>
        <v>0</v>
      </c>
      <c r="H187" s="167">
        <f t="shared" si="31"/>
        <v>0</v>
      </c>
      <c r="I187" s="167">
        <f t="shared" si="31"/>
        <v>0</v>
      </c>
      <c r="J187" s="164"/>
    </row>
    <row r="188" spans="1:11" ht="15.75" thickTop="1">
      <c r="A188" s="19"/>
      <c r="B188" s="19"/>
      <c r="C188" s="19"/>
      <c r="D188" s="19"/>
      <c r="E188" s="20"/>
      <c r="F188" s="20"/>
      <c r="G188" s="20"/>
      <c r="I188" s="20"/>
      <c r="J188" s="95"/>
      <c r="K188"/>
    </row>
    <row r="189" spans="1:11">
      <c r="A189" s="19"/>
      <c r="B189" s="19"/>
      <c r="C189" s="19" t="s">
        <v>212</v>
      </c>
      <c r="D189" s="19"/>
      <c r="E189" s="20"/>
      <c r="F189" s="20"/>
      <c r="G189" s="20"/>
      <c r="I189" s="20"/>
      <c r="J189" s="168"/>
    </row>
    <row r="190" spans="1:11">
      <c r="A190" s="19" t="s">
        <v>218</v>
      </c>
      <c r="B190" s="19" t="s">
        <v>1054</v>
      </c>
      <c r="C190" s="19" t="s">
        <v>219</v>
      </c>
      <c r="D190" s="19"/>
      <c r="E190" s="32">
        <v>65</v>
      </c>
      <c r="F190" s="32">
        <v>0</v>
      </c>
      <c r="G190" s="32">
        <v>1324.35</v>
      </c>
      <c r="H190" s="32">
        <v>1350</v>
      </c>
      <c r="I190" s="32">
        <v>100</v>
      </c>
      <c r="J190" s="95"/>
      <c r="K190"/>
    </row>
    <row r="191" spans="1:11" s="3" customFormat="1" ht="15.75" thickBot="1">
      <c r="A191" s="41"/>
      <c r="B191" s="41"/>
      <c r="C191" s="41" t="s">
        <v>817</v>
      </c>
      <c r="D191" s="41"/>
      <c r="E191" s="167">
        <f t="shared" ref="E191:I191" si="32">SUM(E190)</f>
        <v>65</v>
      </c>
      <c r="F191" s="167">
        <f t="shared" si="32"/>
        <v>0</v>
      </c>
      <c r="G191" s="167">
        <f t="shared" si="32"/>
        <v>1324.35</v>
      </c>
      <c r="H191" s="167">
        <f t="shared" si="32"/>
        <v>1350</v>
      </c>
      <c r="I191" s="167">
        <f t="shared" si="32"/>
        <v>100</v>
      </c>
      <c r="J191" s="164"/>
    </row>
    <row r="192" spans="1:11" ht="15.75" thickTop="1">
      <c r="A192" s="19"/>
      <c r="B192" s="19"/>
      <c r="C192" s="19"/>
      <c r="D192" s="19"/>
      <c r="E192" s="20"/>
      <c r="F192" s="20"/>
      <c r="G192" s="20"/>
      <c r="I192" s="20"/>
      <c r="J192" s="95"/>
      <c r="K192"/>
    </row>
    <row r="193" spans="1:11" s="3" customFormat="1" ht="15.75" thickBot="1">
      <c r="A193" s="41"/>
      <c r="B193" s="41"/>
      <c r="C193" s="41" t="s">
        <v>818</v>
      </c>
      <c r="D193" s="41"/>
      <c r="E193" s="171">
        <f>E179+E183+E187+E191</f>
        <v>10028</v>
      </c>
      <c r="F193" s="171">
        <f t="shared" ref="F193:I193" si="33">F179+F183+F187+F191</f>
        <v>0</v>
      </c>
      <c r="G193" s="171">
        <f t="shared" si="33"/>
        <v>8969.2099999999991</v>
      </c>
      <c r="H193" s="171">
        <f t="shared" si="33"/>
        <v>10098.629809583334</v>
      </c>
      <c r="I193" s="171">
        <f t="shared" si="33"/>
        <v>11897.25</v>
      </c>
      <c r="J193" s="164"/>
    </row>
    <row r="194" spans="1:11" ht="15.75" thickTop="1">
      <c r="A194" s="19"/>
      <c r="B194" s="19"/>
      <c r="C194" s="41"/>
      <c r="D194" s="19"/>
      <c r="E194" s="174"/>
      <c r="F194" s="174"/>
      <c r="G194" s="174"/>
      <c r="H194" s="174"/>
      <c r="I194" s="174"/>
      <c r="J194" s="170"/>
    </row>
    <row r="195" spans="1:11">
      <c r="A195" s="19"/>
      <c r="B195" s="19"/>
      <c r="C195" s="41"/>
      <c r="D195" s="19"/>
      <c r="E195" s="174"/>
      <c r="F195" s="174"/>
      <c r="G195" s="174"/>
      <c r="H195" s="174"/>
      <c r="I195" s="174"/>
      <c r="J195" s="170"/>
    </row>
    <row r="196" spans="1:11">
      <c r="A196" s="201" t="s">
        <v>220</v>
      </c>
      <c r="B196" s="201"/>
      <c r="C196" s="201"/>
      <c r="D196" s="201"/>
      <c r="E196" s="201"/>
      <c r="F196" s="201"/>
      <c r="G196" s="201"/>
      <c r="H196" s="201"/>
      <c r="I196" s="201"/>
      <c r="J196" s="201"/>
      <c r="K196"/>
    </row>
    <row r="197" spans="1:11">
      <c r="A197" s="19"/>
      <c r="B197" s="19"/>
      <c r="C197" s="19" t="s">
        <v>210</v>
      </c>
      <c r="D197" s="19"/>
      <c r="E197" s="174"/>
      <c r="F197" s="174"/>
      <c r="G197" s="174"/>
      <c r="H197" s="174"/>
      <c r="I197" s="174"/>
      <c r="J197" s="170"/>
    </row>
    <row r="198" spans="1:11">
      <c r="A198" s="19" t="s">
        <v>1053</v>
      </c>
      <c r="B198" s="19" t="s">
        <v>1054</v>
      </c>
      <c r="C198" s="19" t="s">
        <v>221</v>
      </c>
      <c r="D198" s="19"/>
      <c r="E198" s="32">
        <v>0</v>
      </c>
      <c r="F198" s="32">
        <v>0</v>
      </c>
      <c r="G198" s="32">
        <v>0</v>
      </c>
      <c r="H198" s="37">
        <v>0</v>
      </c>
      <c r="I198" s="32">
        <v>0</v>
      </c>
      <c r="J198" s="95"/>
      <c r="K198"/>
    </row>
    <row r="199" spans="1:11" s="3" customFormat="1" ht="15.75" thickBot="1">
      <c r="A199" s="41"/>
      <c r="B199" s="41"/>
      <c r="C199" s="41" t="s">
        <v>816</v>
      </c>
      <c r="D199" s="41"/>
      <c r="E199" s="167">
        <f>SUM(E198)</f>
        <v>0</v>
      </c>
      <c r="F199" s="167">
        <f t="shared" ref="F199:I199" si="34">SUM(F198)</f>
        <v>0</v>
      </c>
      <c r="G199" s="167">
        <f t="shared" si="34"/>
        <v>0</v>
      </c>
      <c r="H199" s="167">
        <f t="shared" si="34"/>
        <v>0</v>
      </c>
      <c r="I199" s="167">
        <f t="shared" si="34"/>
        <v>0</v>
      </c>
      <c r="J199" s="164"/>
    </row>
    <row r="200" spans="1:11" ht="15.75" thickTop="1">
      <c r="A200" s="19"/>
      <c r="B200" s="19"/>
      <c r="C200" s="19"/>
      <c r="D200" s="19"/>
      <c r="E200" s="82"/>
      <c r="F200" s="82"/>
      <c r="G200" s="82"/>
      <c r="H200" s="82"/>
      <c r="I200" s="82"/>
      <c r="J200" s="95"/>
      <c r="K200"/>
    </row>
    <row r="201" spans="1:11" s="3" customFormat="1" ht="15.75" thickBot="1">
      <c r="A201" s="41"/>
      <c r="B201" s="41"/>
      <c r="C201" s="41" t="s">
        <v>819</v>
      </c>
      <c r="D201" s="41"/>
      <c r="E201" s="167">
        <f>E199</f>
        <v>0</v>
      </c>
      <c r="F201" s="167">
        <f t="shared" ref="F201:I201" si="35">F199</f>
        <v>0</v>
      </c>
      <c r="G201" s="167">
        <f t="shared" si="35"/>
        <v>0</v>
      </c>
      <c r="H201" s="167">
        <f t="shared" si="35"/>
        <v>0</v>
      </c>
      <c r="I201" s="167">
        <f t="shared" si="35"/>
        <v>0</v>
      </c>
      <c r="J201" s="164"/>
    </row>
    <row r="202" spans="1:11" ht="15.75" thickTop="1">
      <c r="A202" s="19"/>
      <c r="B202" s="19"/>
      <c r="C202" s="19"/>
      <c r="D202" s="19"/>
      <c r="E202" s="20"/>
      <c r="F202" s="20"/>
      <c r="G202" s="20"/>
      <c r="I202" s="20"/>
      <c r="J202" s="168"/>
    </row>
    <row r="203" spans="1:11">
      <c r="A203" s="19"/>
      <c r="B203" s="19"/>
      <c r="C203" s="19"/>
      <c r="D203" s="19"/>
      <c r="E203" s="20"/>
      <c r="F203" s="20"/>
      <c r="G203" s="20"/>
      <c r="I203" s="20"/>
      <c r="J203" s="168"/>
    </row>
    <row r="204" spans="1:11">
      <c r="A204" s="201" t="s">
        <v>726</v>
      </c>
      <c r="B204" s="201"/>
      <c r="C204" s="201"/>
      <c r="D204" s="201"/>
      <c r="E204" s="201"/>
      <c r="F204" s="201"/>
      <c r="G204" s="201"/>
      <c r="H204" s="201"/>
      <c r="I204" s="201"/>
      <c r="J204" s="201"/>
      <c r="K204"/>
    </row>
    <row r="205" spans="1:11">
      <c r="A205" s="19"/>
      <c r="B205" s="19"/>
      <c r="C205" s="19" t="s">
        <v>224</v>
      </c>
      <c r="D205" s="19"/>
      <c r="E205" s="20"/>
      <c r="F205" s="20"/>
      <c r="G205" s="20"/>
      <c r="I205" s="20"/>
      <c r="J205" s="168"/>
    </row>
    <row r="206" spans="1:11">
      <c r="A206" s="19" t="s">
        <v>225</v>
      </c>
      <c r="B206" s="19"/>
      <c r="C206" s="19" t="s">
        <v>863</v>
      </c>
      <c r="D206" s="19"/>
      <c r="E206" s="32">
        <v>45000</v>
      </c>
      <c r="F206" s="32">
        <v>0</v>
      </c>
      <c r="G206" s="32">
        <v>34544.68</v>
      </c>
      <c r="H206" s="32">
        <f>(G206/24)*26</f>
        <v>37423.403333333335</v>
      </c>
      <c r="I206" s="32">
        <v>39000</v>
      </c>
      <c r="J206" s="95"/>
      <c r="K206"/>
    </row>
    <row r="207" spans="1:11" ht="15.75" thickBot="1">
      <c r="A207" s="19"/>
      <c r="B207" s="19"/>
      <c r="C207" s="19" t="s">
        <v>820</v>
      </c>
      <c r="D207" s="19"/>
      <c r="E207" s="172">
        <f>SUM(E206)</f>
        <v>45000</v>
      </c>
      <c r="F207" s="172">
        <f t="shared" ref="F207:I207" si="36">SUM(F206)</f>
        <v>0</v>
      </c>
      <c r="G207" s="172">
        <f t="shared" si="36"/>
        <v>34544.68</v>
      </c>
      <c r="H207" s="172">
        <f t="shared" si="36"/>
        <v>37423.403333333335</v>
      </c>
      <c r="I207" s="172">
        <f t="shared" si="36"/>
        <v>39000</v>
      </c>
      <c r="J207" s="95"/>
      <c r="K207"/>
    </row>
    <row r="208" spans="1:11" ht="15.75" thickTop="1">
      <c r="A208" s="19" t="s">
        <v>13</v>
      </c>
      <c r="B208" s="19"/>
      <c r="C208" s="19" t="s">
        <v>13</v>
      </c>
      <c r="D208" s="19"/>
      <c r="E208" s="32" t="s">
        <v>13</v>
      </c>
      <c r="F208" s="32" t="s">
        <v>13</v>
      </c>
      <c r="G208" s="32" t="s">
        <v>13</v>
      </c>
      <c r="H208" s="37" t="s">
        <v>13</v>
      </c>
      <c r="I208" s="32" t="s">
        <v>13</v>
      </c>
      <c r="J208" s="168"/>
    </row>
    <row r="209" spans="1:11">
      <c r="A209" s="19" t="s">
        <v>13</v>
      </c>
      <c r="B209" s="19"/>
      <c r="C209" s="19" t="s">
        <v>205</v>
      </c>
      <c r="D209" s="19"/>
      <c r="E209" s="32" t="s">
        <v>13</v>
      </c>
      <c r="F209" s="32" t="s">
        <v>13</v>
      </c>
      <c r="G209" s="32" t="s">
        <v>13</v>
      </c>
      <c r="H209" s="37" t="s">
        <v>13</v>
      </c>
      <c r="I209" s="32" t="s">
        <v>13</v>
      </c>
      <c r="J209" s="168"/>
    </row>
    <row r="210" spans="1:11">
      <c r="A210" s="19" t="s">
        <v>226</v>
      </c>
      <c r="B210" s="19"/>
      <c r="C210" s="19" t="s">
        <v>227</v>
      </c>
      <c r="D210" s="19"/>
      <c r="E210" s="32">
        <v>18000</v>
      </c>
      <c r="F210" s="32">
        <v>0</v>
      </c>
      <c r="G210" s="32">
        <v>16801.13</v>
      </c>
      <c r="H210" s="32">
        <f>(G210/11)*12</f>
        <v>18328.505454545455</v>
      </c>
      <c r="I210" s="32">
        <v>18000</v>
      </c>
      <c r="J210" s="95"/>
      <c r="K210"/>
    </row>
    <row r="211" spans="1:11">
      <c r="A211" s="19" t="s">
        <v>228</v>
      </c>
      <c r="B211" s="19"/>
      <c r="C211" s="19" t="s">
        <v>215</v>
      </c>
      <c r="D211" s="19"/>
      <c r="E211" s="32">
        <f>E207*0.0765</f>
        <v>3442.5</v>
      </c>
      <c r="F211" s="32">
        <f t="shared" ref="F211:I211" si="37">F207*0.0765</f>
        <v>0</v>
      </c>
      <c r="G211" s="32">
        <v>2642.83</v>
      </c>
      <c r="H211" s="32">
        <f t="shared" si="37"/>
        <v>2862.890355</v>
      </c>
      <c r="I211" s="32">
        <f t="shared" si="37"/>
        <v>2983.5</v>
      </c>
      <c r="J211" s="95"/>
      <c r="K211"/>
    </row>
    <row r="212" spans="1:11">
      <c r="A212" s="19" t="s">
        <v>230</v>
      </c>
      <c r="B212" s="19"/>
      <c r="C212" s="19" t="s">
        <v>231</v>
      </c>
      <c r="D212" s="19"/>
      <c r="E212" s="32">
        <v>50000</v>
      </c>
      <c r="F212" s="32">
        <v>0</v>
      </c>
      <c r="G212" s="32">
        <v>65011.46</v>
      </c>
      <c r="H212" s="32">
        <f t="shared" ref="H212:H214" si="38">(G212/11)*12</f>
        <v>70921.592727272728</v>
      </c>
      <c r="I212" s="37">
        <v>50000</v>
      </c>
      <c r="J212" s="95"/>
      <c r="K212"/>
    </row>
    <row r="213" spans="1:11">
      <c r="A213" s="19" t="s">
        <v>232</v>
      </c>
      <c r="B213" s="19"/>
      <c r="C213" s="19" t="s">
        <v>1123</v>
      </c>
      <c r="D213" s="19"/>
      <c r="E213" s="32">
        <v>5000</v>
      </c>
      <c r="F213" s="32">
        <v>0</v>
      </c>
      <c r="G213" s="32">
        <v>24884.52</v>
      </c>
      <c r="H213" s="32">
        <f t="shared" si="38"/>
        <v>27146.749090909092</v>
      </c>
      <c r="I213" s="32">
        <v>5000</v>
      </c>
      <c r="J213" s="95"/>
      <c r="K213"/>
    </row>
    <row r="214" spans="1:11">
      <c r="A214" s="19" t="s">
        <v>233</v>
      </c>
      <c r="B214" s="19"/>
      <c r="C214" s="19" t="s">
        <v>234</v>
      </c>
      <c r="D214" s="19"/>
      <c r="E214" s="32">
        <v>155000</v>
      </c>
      <c r="F214" s="32">
        <v>0</v>
      </c>
      <c r="G214" s="32">
        <v>117250.08</v>
      </c>
      <c r="H214" s="32">
        <f t="shared" si="38"/>
        <v>127909.17818181819</v>
      </c>
      <c r="I214" s="32">
        <v>180000</v>
      </c>
      <c r="J214" s="95"/>
      <c r="K214"/>
    </row>
    <row r="215" spans="1:11" ht="15.75" thickBot="1">
      <c r="A215" s="19" t="s">
        <v>13</v>
      </c>
      <c r="B215" s="19"/>
      <c r="C215" s="19" t="s">
        <v>821</v>
      </c>
      <c r="D215" s="19"/>
      <c r="E215" s="172">
        <f>SUM(E210:E214)</f>
        <v>231442.5</v>
      </c>
      <c r="F215" s="172">
        <f>SUM(F210:F214)</f>
        <v>0</v>
      </c>
      <c r="G215" s="172">
        <f>SUM(G210:G214)</f>
        <v>226590.02000000002</v>
      </c>
      <c r="H215" s="172">
        <f>SUM(H210:H214)</f>
        <v>247168.91580954546</v>
      </c>
      <c r="I215" s="172">
        <f>SUM(I210:I214)</f>
        <v>255983.5</v>
      </c>
      <c r="J215" s="95"/>
      <c r="K215"/>
    </row>
    <row r="216" spans="1:11" ht="15.75" thickTop="1">
      <c r="A216" s="19"/>
      <c r="B216" s="19"/>
      <c r="C216" s="19"/>
      <c r="D216" s="19"/>
      <c r="E216" s="82"/>
      <c r="F216" s="82"/>
      <c r="G216" s="82"/>
      <c r="H216" s="82"/>
      <c r="I216" s="82"/>
      <c r="J216" s="95"/>
      <c r="K216"/>
    </row>
    <row r="217" spans="1:11" s="3" customFormat="1" ht="15.75" thickBot="1">
      <c r="A217" s="41"/>
      <c r="B217" s="41"/>
      <c r="C217" s="41" t="s">
        <v>814</v>
      </c>
      <c r="D217" s="41"/>
      <c r="E217" s="167">
        <f>E207+E215</f>
        <v>276442.5</v>
      </c>
      <c r="F217" s="167">
        <f>F207+F215</f>
        <v>0</v>
      </c>
      <c r="G217" s="167">
        <f>G207+G215</f>
        <v>261134.7</v>
      </c>
      <c r="H217" s="167">
        <f>H207+H215</f>
        <v>284592.31914287881</v>
      </c>
      <c r="I217" s="167">
        <f>I207+I215</f>
        <v>294983.5</v>
      </c>
      <c r="J217" s="164"/>
    </row>
    <row r="218" spans="1:11" ht="15.75" thickTop="1">
      <c r="A218" s="19" t="s">
        <v>13</v>
      </c>
      <c r="B218" s="19"/>
      <c r="C218" s="19" t="s">
        <v>13</v>
      </c>
      <c r="D218" s="19"/>
      <c r="E218" s="32" t="s">
        <v>13</v>
      </c>
      <c r="F218" s="32" t="s">
        <v>13</v>
      </c>
      <c r="G218" s="32" t="s">
        <v>13</v>
      </c>
      <c r="H218" s="37" t="s">
        <v>13</v>
      </c>
      <c r="I218" s="32" t="s">
        <v>13</v>
      </c>
      <c r="J218" s="168"/>
    </row>
    <row r="219" spans="1:11">
      <c r="A219" s="19" t="s">
        <v>13</v>
      </c>
      <c r="B219" s="19"/>
      <c r="C219" s="19" t="s">
        <v>207</v>
      </c>
      <c r="D219" s="19"/>
      <c r="E219" s="32" t="s">
        <v>13</v>
      </c>
      <c r="F219" s="32" t="s">
        <v>13</v>
      </c>
      <c r="G219" s="32" t="s">
        <v>13</v>
      </c>
      <c r="H219" s="37" t="s">
        <v>13</v>
      </c>
      <c r="I219" s="37" t="s">
        <v>13</v>
      </c>
    </row>
    <row r="220" spans="1:11">
      <c r="A220" s="19" t="s">
        <v>235</v>
      </c>
      <c r="B220" s="19"/>
      <c r="C220" s="19" t="s">
        <v>236</v>
      </c>
      <c r="D220" s="19"/>
      <c r="E220" s="32">
        <v>8000</v>
      </c>
      <c r="F220" s="32">
        <v>0</v>
      </c>
      <c r="G220" s="32">
        <v>2990.03</v>
      </c>
      <c r="H220" s="32">
        <f>(G220/11)*12</f>
        <v>3261.8509090909092</v>
      </c>
      <c r="I220" s="32">
        <v>5000</v>
      </c>
      <c r="J220" s="95"/>
      <c r="K220"/>
    </row>
    <row r="221" spans="1:11" s="3" customFormat="1" ht="15.75" thickBot="1">
      <c r="A221" s="41"/>
      <c r="B221" s="41"/>
      <c r="C221" s="41" t="s">
        <v>815</v>
      </c>
      <c r="D221" s="41"/>
      <c r="E221" s="167">
        <f>SUM(E220)</f>
        <v>8000</v>
      </c>
      <c r="F221" s="167">
        <f t="shared" ref="F221:I221" si="39">SUM(F220)</f>
        <v>0</v>
      </c>
      <c r="G221" s="167">
        <f>SUM(G220)</f>
        <v>2990.03</v>
      </c>
      <c r="H221" s="167">
        <f t="shared" si="39"/>
        <v>3261.8509090909092</v>
      </c>
      <c r="I221" s="167">
        <f t="shared" si="39"/>
        <v>5000</v>
      </c>
      <c r="J221" s="164"/>
    </row>
    <row r="222" spans="1:11" ht="15.75" thickTop="1">
      <c r="A222" s="19"/>
      <c r="B222" s="19"/>
      <c r="C222" s="19"/>
      <c r="D222" s="19"/>
      <c r="E222" s="20"/>
      <c r="F222" s="20"/>
      <c r="G222" s="20"/>
      <c r="I222" s="20"/>
      <c r="J222" s="168"/>
    </row>
    <row r="223" spans="1:11">
      <c r="A223" s="19" t="s">
        <v>13</v>
      </c>
      <c r="B223" s="19"/>
      <c r="C223" s="19" t="s">
        <v>210</v>
      </c>
      <c r="D223" s="19"/>
      <c r="E223" s="32" t="s">
        <v>13</v>
      </c>
      <c r="F223" s="32" t="s">
        <v>13</v>
      </c>
      <c r="G223" s="32" t="s">
        <v>13</v>
      </c>
      <c r="H223" s="37" t="s">
        <v>13</v>
      </c>
      <c r="I223" s="32" t="s">
        <v>13</v>
      </c>
      <c r="J223" s="95"/>
      <c r="K223"/>
    </row>
    <row r="224" spans="1:11">
      <c r="A224" s="19" t="s">
        <v>237</v>
      </c>
      <c r="B224" s="19"/>
      <c r="C224" s="19" t="s">
        <v>238</v>
      </c>
      <c r="D224" s="19"/>
      <c r="E224" s="32">
        <v>6500</v>
      </c>
      <c r="F224" s="32">
        <v>0</v>
      </c>
      <c r="G224" s="32">
        <v>5286.28</v>
      </c>
      <c r="H224" s="32">
        <f>(G224/11)*12</f>
        <v>5766.8509090909092</v>
      </c>
      <c r="I224" s="32">
        <v>6500</v>
      </c>
      <c r="J224" s="95"/>
      <c r="K224"/>
    </row>
    <row r="225" spans="1:11">
      <c r="A225" s="19" t="s">
        <v>239</v>
      </c>
      <c r="B225" s="19"/>
      <c r="C225" s="19" t="s">
        <v>240</v>
      </c>
      <c r="D225" s="19"/>
      <c r="E225" s="32">
        <v>9000</v>
      </c>
      <c r="F225" s="32">
        <v>0</v>
      </c>
      <c r="G225" s="32">
        <v>5623.53</v>
      </c>
      <c r="H225" s="32">
        <f t="shared" ref="H225:H228" si="40">(G225/11)*12</f>
        <v>6134.7599999999993</v>
      </c>
      <c r="I225" s="32">
        <v>7000</v>
      </c>
      <c r="J225" s="95"/>
      <c r="K225"/>
    </row>
    <row r="226" spans="1:11">
      <c r="A226" s="19" t="s">
        <v>242</v>
      </c>
      <c r="B226" s="19"/>
      <c r="C226" s="19" t="s">
        <v>243</v>
      </c>
      <c r="D226" s="19"/>
      <c r="E226" s="32">
        <v>580</v>
      </c>
      <c r="F226" s="32">
        <v>0</v>
      </c>
      <c r="G226" s="32">
        <v>435</v>
      </c>
      <c r="H226" s="32">
        <f t="shared" si="40"/>
        <v>474.54545454545456</v>
      </c>
      <c r="I226" s="32">
        <f>360+510</f>
        <v>870</v>
      </c>
      <c r="J226" s="95"/>
      <c r="K226"/>
    </row>
    <row r="227" spans="1:11">
      <c r="A227" s="19" t="s">
        <v>244</v>
      </c>
      <c r="B227" s="19"/>
      <c r="C227" s="19" t="s">
        <v>245</v>
      </c>
      <c r="D227" s="19"/>
      <c r="E227" s="32">
        <v>20000</v>
      </c>
      <c r="F227" s="32">
        <v>0</v>
      </c>
      <c r="G227" s="32">
        <v>15846.6</v>
      </c>
      <c r="H227" s="32">
        <f t="shared" si="40"/>
        <v>17287.2</v>
      </c>
      <c r="I227" s="32">
        <v>18000</v>
      </c>
      <c r="J227" s="95"/>
      <c r="K227"/>
    </row>
    <row r="228" spans="1:11">
      <c r="A228" s="19" t="s">
        <v>246</v>
      </c>
      <c r="B228" s="19"/>
      <c r="C228" s="19" t="s">
        <v>247</v>
      </c>
      <c r="D228" s="19"/>
      <c r="E228" s="32">
        <v>17500</v>
      </c>
      <c r="F228" s="32">
        <v>0</v>
      </c>
      <c r="G228" s="32">
        <v>12801.38</v>
      </c>
      <c r="H228" s="32">
        <f t="shared" si="40"/>
        <v>13965.141818181819</v>
      </c>
      <c r="I228" s="32">
        <v>14400</v>
      </c>
      <c r="J228" s="95"/>
      <c r="K228"/>
    </row>
    <row r="229" spans="1:11">
      <c r="A229" s="19" t="s">
        <v>248</v>
      </c>
      <c r="B229" s="19"/>
      <c r="C229" s="19" t="s">
        <v>249</v>
      </c>
      <c r="D229" s="19"/>
      <c r="E229" s="32">
        <v>85000</v>
      </c>
      <c r="F229" s="32">
        <v>0</v>
      </c>
      <c r="G229" s="32">
        <v>107588.64</v>
      </c>
      <c r="H229" s="32">
        <f>(G229/11)*12</f>
        <v>117369.42545454545</v>
      </c>
      <c r="I229" s="32">
        <v>75000</v>
      </c>
      <c r="J229" s="95"/>
      <c r="K229"/>
    </row>
    <row r="230" spans="1:11">
      <c r="A230" s="19" t="s">
        <v>978</v>
      </c>
      <c r="B230" s="19"/>
      <c r="C230" s="19" t="s">
        <v>960</v>
      </c>
      <c r="D230" s="19"/>
      <c r="E230" s="32">
        <v>0</v>
      </c>
      <c r="F230" s="32">
        <v>0</v>
      </c>
      <c r="G230" s="32">
        <v>885.71</v>
      </c>
      <c r="H230" s="32">
        <v>885.71</v>
      </c>
      <c r="I230" s="32">
        <v>0</v>
      </c>
      <c r="J230" s="95"/>
      <c r="K230"/>
    </row>
    <row r="231" spans="1:11">
      <c r="A231" s="19" t="s">
        <v>252</v>
      </c>
      <c r="B231" s="19"/>
      <c r="C231" s="19" t="s">
        <v>27</v>
      </c>
      <c r="D231" s="19"/>
      <c r="E231" s="32">
        <v>5500</v>
      </c>
      <c r="F231" s="32">
        <v>0</v>
      </c>
      <c r="G231" s="32">
        <v>5810.95</v>
      </c>
      <c r="H231" s="32">
        <f>(G231/11)*12</f>
        <v>6339.2181818181816</v>
      </c>
      <c r="I231" s="32">
        <v>6530</v>
      </c>
      <c r="J231" s="95"/>
      <c r="K231" s="97"/>
    </row>
    <row r="232" spans="1:11">
      <c r="A232" s="19" t="s">
        <v>253</v>
      </c>
      <c r="B232" s="19" t="s">
        <v>1054</v>
      </c>
      <c r="C232" s="19" t="s">
        <v>254</v>
      </c>
      <c r="D232" s="19"/>
      <c r="E232" s="32">
        <v>8000</v>
      </c>
      <c r="F232" s="32">
        <v>0</v>
      </c>
      <c r="G232" s="32">
        <v>0</v>
      </c>
      <c r="H232" s="32">
        <f t="shared" ref="H232:H248" si="41">(G232/11)*12</f>
        <v>0</v>
      </c>
      <c r="I232" s="32">
        <v>0</v>
      </c>
      <c r="J232" s="95" t="s">
        <v>1291</v>
      </c>
      <c r="K232"/>
    </row>
    <row r="233" spans="1:11">
      <c r="A233" s="19" t="s">
        <v>255</v>
      </c>
      <c r="B233" s="19" t="s">
        <v>1054</v>
      </c>
      <c r="C233" s="19" t="s">
        <v>256</v>
      </c>
      <c r="D233" s="19"/>
      <c r="E233" s="32">
        <v>800</v>
      </c>
      <c r="F233" s="32">
        <v>0</v>
      </c>
      <c r="G233" s="32">
        <v>0</v>
      </c>
      <c r="H233" s="32">
        <f t="shared" si="41"/>
        <v>0</v>
      </c>
      <c r="I233" s="32">
        <v>0</v>
      </c>
      <c r="J233" s="95" t="s">
        <v>1292</v>
      </c>
      <c r="K233"/>
    </row>
    <row r="234" spans="1:11" s="99" customFormat="1">
      <c r="A234" s="175" t="s">
        <v>259</v>
      </c>
      <c r="B234" s="175" t="s">
        <v>1054</v>
      </c>
      <c r="C234" s="175" t="s">
        <v>792</v>
      </c>
      <c r="D234" s="175"/>
      <c r="E234" s="37">
        <v>11000</v>
      </c>
      <c r="F234" s="37">
        <v>0</v>
      </c>
      <c r="G234" s="37">
        <v>0</v>
      </c>
      <c r="H234" s="32">
        <f t="shared" si="41"/>
        <v>0</v>
      </c>
      <c r="I234" s="32">
        <v>0</v>
      </c>
      <c r="J234" s="95" t="s">
        <v>1293</v>
      </c>
    </row>
    <row r="235" spans="1:11" s="99" customFormat="1">
      <c r="A235" s="175" t="s">
        <v>260</v>
      </c>
      <c r="B235" s="175"/>
      <c r="C235" s="175" t="s">
        <v>795</v>
      </c>
      <c r="D235" s="175"/>
      <c r="E235" s="37">
        <v>2500</v>
      </c>
      <c r="F235" s="37">
        <v>0</v>
      </c>
      <c r="G235" s="37">
        <v>2014</v>
      </c>
      <c r="H235" s="32">
        <f t="shared" si="41"/>
        <v>2197.090909090909</v>
      </c>
      <c r="I235" s="32">
        <v>2265</v>
      </c>
      <c r="J235" s="95"/>
    </row>
    <row r="236" spans="1:11">
      <c r="A236" s="19" t="s">
        <v>791</v>
      </c>
      <c r="B236" s="19"/>
      <c r="C236" s="19" t="s">
        <v>1056</v>
      </c>
      <c r="D236" s="19"/>
      <c r="E236" s="32">
        <v>5000</v>
      </c>
      <c r="F236" s="32">
        <v>0</v>
      </c>
      <c r="G236" s="32">
        <v>3170.55</v>
      </c>
      <c r="H236" s="32">
        <f t="shared" si="41"/>
        <v>3458.7818181818184</v>
      </c>
      <c r="I236" s="32">
        <v>3565</v>
      </c>
      <c r="J236" s="95" t="s">
        <v>1302</v>
      </c>
      <c r="K236"/>
    </row>
    <row r="237" spans="1:11">
      <c r="A237" s="19" t="s">
        <v>1124</v>
      </c>
      <c r="B237" s="19"/>
      <c r="C237" s="19" t="s">
        <v>1055</v>
      </c>
      <c r="D237" s="19"/>
      <c r="E237" s="32">
        <v>7500</v>
      </c>
      <c r="F237" s="32">
        <v>0</v>
      </c>
      <c r="G237" s="32">
        <v>8335.73</v>
      </c>
      <c r="H237" s="32">
        <f>(G237/11)*12</f>
        <v>9093.5236363636359</v>
      </c>
      <c r="I237" s="32">
        <v>9370</v>
      </c>
      <c r="J237" s="95"/>
      <c r="K237"/>
    </row>
    <row r="238" spans="1:11" s="99" customFormat="1">
      <c r="A238" s="175" t="s">
        <v>257</v>
      </c>
      <c r="B238" s="175"/>
      <c r="C238" s="175" t="s">
        <v>258</v>
      </c>
      <c r="D238" s="175"/>
      <c r="E238" s="37">
        <v>2000</v>
      </c>
      <c r="F238" s="37">
        <v>0</v>
      </c>
      <c r="G238" s="37">
        <v>1304.3900000000001</v>
      </c>
      <c r="H238" s="32">
        <f t="shared" si="41"/>
        <v>1422.9709090909091</v>
      </c>
      <c r="I238" s="32">
        <v>1470</v>
      </c>
      <c r="J238" s="95"/>
    </row>
    <row r="239" spans="1:11" s="99" customFormat="1">
      <c r="A239" s="175" t="s">
        <v>261</v>
      </c>
      <c r="B239" s="175" t="s">
        <v>1054</v>
      </c>
      <c r="C239" s="175" t="s">
        <v>262</v>
      </c>
      <c r="D239" s="175"/>
      <c r="E239" s="37">
        <v>2000</v>
      </c>
      <c r="F239" s="37">
        <v>0</v>
      </c>
      <c r="G239" s="37">
        <v>0</v>
      </c>
      <c r="H239" s="32">
        <f t="shared" si="41"/>
        <v>0</v>
      </c>
      <c r="I239" s="32">
        <v>0</v>
      </c>
      <c r="J239" s="95" t="s">
        <v>1291</v>
      </c>
    </row>
    <row r="240" spans="1:11" s="99" customFormat="1">
      <c r="A240" s="175" t="s">
        <v>263</v>
      </c>
      <c r="B240" s="175" t="s">
        <v>1054</v>
      </c>
      <c r="C240" s="175" t="s">
        <v>264</v>
      </c>
      <c r="D240" s="175"/>
      <c r="E240" s="37">
        <v>1000</v>
      </c>
      <c r="F240" s="37">
        <v>0</v>
      </c>
      <c r="G240" s="37">
        <v>0</v>
      </c>
      <c r="H240" s="32">
        <f t="shared" si="41"/>
        <v>0</v>
      </c>
      <c r="I240" s="32">
        <v>0</v>
      </c>
      <c r="J240" s="95" t="s">
        <v>1292</v>
      </c>
    </row>
    <row r="241" spans="1:11" s="99" customFormat="1">
      <c r="A241" s="175" t="s">
        <v>793</v>
      </c>
      <c r="B241" s="175" t="s">
        <v>1054</v>
      </c>
      <c r="C241" s="175" t="s">
        <v>794</v>
      </c>
      <c r="D241" s="175"/>
      <c r="E241" s="37">
        <v>3000</v>
      </c>
      <c r="F241" s="37">
        <v>0</v>
      </c>
      <c r="G241" s="37">
        <v>0</v>
      </c>
      <c r="H241" s="32">
        <f t="shared" si="41"/>
        <v>0</v>
      </c>
      <c r="I241" s="32">
        <v>0</v>
      </c>
      <c r="J241" s="95" t="s">
        <v>1293</v>
      </c>
    </row>
    <row r="242" spans="1:11">
      <c r="A242" s="19" t="s">
        <v>1057</v>
      </c>
      <c r="B242" s="19" t="s">
        <v>1054</v>
      </c>
      <c r="C242" s="19" t="s">
        <v>229</v>
      </c>
      <c r="D242" s="19"/>
      <c r="E242" s="32">
        <v>5000</v>
      </c>
      <c r="F242" s="32">
        <v>0</v>
      </c>
      <c r="G242" s="32">
        <v>3126.5</v>
      </c>
      <c r="H242" s="32">
        <f t="shared" si="41"/>
        <v>3410.727272727273</v>
      </c>
      <c r="I242" s="37">
        <v>1000</v>
      </c>
      <c r="J242" s="95"/>
      <c r="K242"/>
    </row>
    <row r="243" spans="1:11">
      <c r="A243" s="19" t="s">
        <v>1119</v>
      </c>
      <c r="B243" s="19"/>
      <c r="C243" s="19" t="s">
        <v>251</v>
      </c>
      <c r="D243" s="19"/>
      <c r="E243" s="32">
        <v>6000</v>
      </c>
      <c r="F243" s="32">
        <v>0</v>
      </c>
      <c r="G243" s="32">
        <v>6670.88</v>
      </c>
      <c r="H243" s="32">
        <f>(G243/11)*12</f>
        <v>7277.323636363637</v>
      </c>
      <c r="I243" s="32">
        <v>7500</v>
      </c>
      <c r="J243" s="95"/>
      <c r="K243"/>
    </row>
    <row r="244" spans="1:11">
      <c r="A244" s="19" t="s">
        <v>910</v>
      </c>
      <c r="B244" s="19"/>
      <c r="C244" s="19" t="s">
        <v>250</v>
      </c>
      <c r="D244" s="19"/>
      <c r="E244" s="32">
        <v>2400</v>
      </c>
      <c r="F244" s="32">
        <v>0</v>
      </c>
      <c r="G244" s="32">
        <v>1163.21</v>
      </c>
      <c r="H244" s="32">
        <f t="shared" si="41"/>
        <v>1268.9563636363637</v>
      </c>
      <c r="I244" s="32">
        <v>1310</v>
      </c>
      <c r="J244" s="95"/>
      <c r="K244"/>
    </row>
    <row r="245" spans="1:11">
      <c r="A245" s="19" t="s">
        <v>1058</v>
      </c>
      <c r="B245" s="19" t="s">
        <v>1054</v>
      </c>
      <c r="C245" s="19" t="s">
        <v>209</v>
      </c>
      <c r="D245" s="19"/>
      <c r="E245" s="32">
        <v>1600</v>
      </c>
      <c r="F245" s="32">
        <v>0</v>
      </c>
      <c r="G245" s="32">
        <v>3986.41</v>
      </c>
      <c r="H245" s="32">
        <f t="shared" si="41"/>
        <v>4348.8109090909093</v>
      </c>
      <c r="I245" s="32">
        <v>2500</v>
      </c>
      <c r="J245" s="95" t="s">
        <v>1294</v>
      </c>
      <c r="K245"/>
    </row>
    <row r="246" spans="1:11">
      <c r="A246" s="19" t="s">
        <v>265</v>
      </c>
      <c r="B246" s="19"/>
      <c r="C246" s="19" t="s">
        <v>266</v>
      </c>
      <c r="D246" s="19"/>
      <c r="E246" s="32">
        <v>8100</v>
      </c>
      <c r="F246" s="32">
        <v>0</v>
      </c>
      <c r="G246" s="32">
        <v>586.80999999999995</v>
      </c>
      <c r="H246" s="32">
        <f t="shared" si="41"/>
        <v>640.15636363636361</v>
      </c>
      <c r="I246" s="32">
        <v>380</v>
      </c>
      <c r="J246" s="95"/>
      <c r="K246"/>
    </row>
    <row r="247" spans="1:11">
      <c r="A247" s="19" t="s">
        <v>267</v>
      </c>
      <c r="B247" s="19"/>
      <c r="C247" s="19" t="s">
        <v>1118</v>
      </c>
      <c r="D247" s="19"/>
      <c r="E247" s="32">
        <v>30000</v>
      </c>
      <c r="F247" s="32">
        <v>0</v>
      </c>
      <c r="G247" s="32">
        <v>23219.5</v>
      </c>
      <c r="H247" s="32">
        <f t="shared" si="41"/>
        <v>25330.36363636364</v>
      </c>
      <c r="I247" s="32">
        <v>30000</v>
      </c>
      <c r="J247" s="95"/>
      <c r="K247"/>
    </row>
    <row r="248" spans="1:11">
      <c r="A248" s="19" t="s">
        <v>268</v>
      </c>
      <c r="B248" s="19"/>
      <c r="C248" s="19" t="s">
        <v>269</v>
      </c>
      <c r="D248" s="19"/>
      <c r="E248" s="32">
        <v>1500</v>
      </c>
      <c r="F248" s="32">
        <v>0</v>
      </c>
      <c r="G248" s="32">
        <v>990</v>
      </c>
      <c r="H248" s="32">
        <f t="shared" si="41"/>
        <v>1080</v>
      </c>
      <c r="I248" s="32">
        <v>1400</v>
      </c>
      <c r="J248" s="95" t="s">
        <v>13</v>
      </c>
      <c r="K248"/>
    </row>
    <row r="249" spans="1:11" s="3" customFormat="1" ht="15.75" thickBot="1">
      <c r="A249" s="41"/>
      <c r="B249" s="41"/>
      <c r="C249" s="41" t="s">
        <v>816</v>
      </c>
      <c r="D249" s="41"/>
      <c r="E249" s="167">
        <f>SUM(E224:E248)</f>
        <v>241480</v>
      </c>
      <c r="F249" s="167">
        <f>SUM(F224:F248)</f>
        <v>0</v>
      </c>
      <c r="G249" s="167">
        <f>SUM(G224:G248)</f>
        <v>208846.07</v>
      </c>
      <c r="H249" s="167">
        <f>SUM(H224:H248)</f>
        <v>227751.55727272728</v>
      </c>
      <c r="I249" s="167">
        <f>SUM(I224:I248)</f>
        <v>189060</v>
      </c>
      <c r="J249" s="164"/>
    </row>
    <row r="250" spans="1:11" ht="15.75" thickTop="1">
      <c r="A250" s="19"/>
      <c r="B250" s="19"/>
      <c r="C250" s="19"/>
      <c r="D250" s="19"/>
      <c r="E250" s="20"/>
      <c r="F250" s="20"/>
      <c r="G250" s="20"/>
      <c r="I250" s="20"/>
      <c r="J250" s="168"/>
    </row>
    <row r="251" spans="1:11">
      <c r="A251" s="19" t="s">
        <v>13</v>
      </c>
      <c r="B251" s="19"/>
      <c r="C251" s="19" t="s">
        <v>212</v>
      </c>
      <c r="D251" s="19"/>
      <c r="E251" s="32" t="s">
        <v>13</v>
      </c>
      <c r="F251" s="32" t="s">
        <v>13</v>
      </c>
      <c r="G251" s="32" t="s">
        <v>13</v>
      </c>
      <c r="H251" s="37" t="s">
        <v>13</v>
      </c>
      <c r="I251" s="32" t="s">
        <v>13</v>
      </c>
      <c r="J251" s="168"/>
    </row>
    <row r="252" spans="1:11">
      <c r="A252" s="19" t="s">
        <v>270</v>
      </c>
      <c r="B252" s="19"/>
      <c r="C252" s="19" t="s">
        <v>271</v>
      </c>
      <c r="D252" s="19"/>
      <c r="E252" s="32">
        <v>5500</v>
      </c>
      <c r="F252" s="32">
        <v>0</v>
      </c>
      <c r="G252" s="32">
        <v>5857.72</v>
      </c>
      <c r="H252" s="32">
        <f>(G252/11)*12</f>
        <v>6390.24</v>
      </c>
      <c r="I252" s="32">
        <v>5500</v>
      </c>
      <c r="J252" s="95"/>
      <c r="K252"/>
    </row>
    <row r="253" spans="1:11">
      <c r="A253" s="19" t="s">
        <v>272</v>
      </c>
      <c r="B253" s="19"/>
      <c r="C253" s="19" t="s">
        <v>492</v>
      </c>
      <c r="D253" s="19"/>
      <c r="E253" s="32">
        <v>3000</v>
      </c>
      <c r="F253" s="32">
        <v>0</v>
      </c>
      <c r="G253" s="32">
        <v>1805.88</v>
      </c>
      <c r="H253" s="32">
        <f t="shared" ref="H253:H254" si="42">(G253/11)*12</f>
        <v>1970.0509090909093</v>
      </c>
      <c r="I253" s="32">
        <v>2600</v>
      </c>
      <c r="J253" s="95"/>
      <c r="K253"/>
    </row>
    <row r="254" spans="1:11">
      <c r="A254" s="19" t="s">
        <v>1059</v>
      </c>
      <c r="B254" s="19" t="s">
        <v>1054</v>
      </c>
      <c r="C254" s="19" t="s">
        <v>273</v>
      </c>
      <c r="D254" s="19"/>
      <c r="E254" s="32">
        <v>100</v>
      </c>
      <c r="F254" s="32">
        <v>0</v>
      </c>
      <c r="G254" s="32">
        <v>240.23</v>
      </c>
      <c r="H254" s="32">
        <f t="shared" si="42"/>
        <v>262.0690909090909</v>
      </c>
      <c r="I254" s="32">
        <v>250</v>
      </c>
      <c r="J254" s="95"/>
      <c r="K254"/>
    </row>
    <row r="255" spans="1:11" s="3" customFormat="1" ht="15.75" thickBot="1">
      <c r="A255" s="41"/>
      <c r="B255" s="41"/>
      <c r="C255" s="41" t="s">
        <v>817</v>
      </c>
      <c r="D255" s="41"/>
      <c r="E255" s="167">
        <f>SUM(E252:E254)</f>
        <v>8600</v>
      </c>
      <c r="F255" s="167">
        <f t="shared" ref="F255:I255" si="43">SUM(F252:F254)</f>
        <v>0</v>
      </c>
      <c r="G255" s="167">
        <f>SUM(G252:G254)</f>
        <v>7903.83</v>
      </c>
      <c r="H255" s="167">
        <f t="shared" si="43"/>
        <v>8622.36</v>
      </c>
      <c r="I255" s="167">
        <f t="shared" si="43"/>
        <v>8350</v>
      </c>
      <c r="J255" s="164"/>
    </row>
    <row r="256" spans="1:11" ht="15.75" thickTop="1">
      <c r="A256" s="19"/>
      <c r="B256" s="19"/>
      <c r="C256" s="19"/>
      <c r="D256" s="19"/>
      <c r="E256" s="20"/>
      <c r="F256" s="20"/>
      <c r="G256" s="20"/>
      <c r="I256" s="20"/>
      <c r="J256" s="168"/>
    </row>
    <row r="257" spans="1:11">
      <c r="A257" s="19" t="s">
        <v>13</v>
      </c>
      <c r="B257" s="19"/>
      <c r="C257" s="19" t="s">
        <v>223</v>
      </c>
      <c r="D257" s="19"/>
      <c r="E257" s="32" t="s">
        <v>13</v>
      </c>
      <c r="F257" s="32" t="s">
        <v>13</v>
      </c>
      <c r="G257" s="32" t="s">
        <v>13</v>
      </c>
      <c r="H257" s="37" t="s">
        <v>13</v>
      </c>
      <c r="I257" s="32" t="s">
        <v>13</v>
      </c>
      <c r="J257" s="168"/>
    </row>
    <row r="258" spans="1:11">
      <c r="A258" s="19" t="s">
        <v>1196</v>
      </c>
      <c r="B258" s="19" t="s">
        <v>1054</v>
      </c>
      <c r="C258" s="19" t="s">
        <v>1199</v>
      </c>
      <c r="D258" s="19"/>
      <c r="E258" s="32">
        <v>0</v>
      </c>
      <c r="F258" s="32">
        <v>0</v>
      </c>
      <c r="G258" s="32">
        <v>0</v>
      </c>
      <c r="H258" s="37">
        <v>0</v>
      </c>
      <c r="I258" s="32">
        <v>1000</v>
      </c>
      <c r="J258" s="168"/>
    </row>
    <row r="259" spans="1:11">
      <c r="A259" s="19" t="s">
        <v>274</v>
      </c>
      <c r="B259" s="19"/>
      <c r="C259" s="19" t="s">
        <v>275</v>
      </c>
      <c r="D259" s="19"/>
      <c r="E259" s="32">
        <v>1500</v>
      </c>
      <c r="F259" s="32">
        <v>0</v>
      </c>
      <c r="G259" s="32">
        <v>290</v>
      </c>
      <c r="H259" s="32">
        <f t="shared" ref="H259" si="44">(G259/11)*12</f>
        <v>316.36363636363637</v>
      </c>
      <c r="I259" s="32">
        <v>500</v>
      </c>
      <c r="J259" s="95"/>
      <c r="K259"/>
    </row>
    <row r="260" spans="1:11" s="3" customFormat="1" ht="15.75" thickBot="1">
      <c r="A260" s="41"/>
      <c r="B260" s="41"/>
      <c r="C260" s="41" t="s">
        <v>822</v>
      </c>
      <c r="D260" s="41"/>
      <c r="E260" s="167">
        <f>SUM(E258:E259)</f>
        <v>1500</v>
      </c>
      <c r="F260" s="167">
        <f t="shared" ref="F260:I260" si="45">SUM(F258:F259)</f>
        <v>0</v>
      </c>
      <c r="G260" s="167">
        <f t="shared" si="45"/>
        <v>290</v>
      </c>
      <c r="H260" s="167">
        <f t="shared" si="45"/>
        <v>316.36363636363637</v>
      </c>
      <c r="I260" s="167">
        <f t="shared" si="45"/>
        <v>1500</v>
      </c>
      <c r="J260" s="164"/>
    </row>
    <row r="261" spans="1:11" ht="15.75" thickTop="1">
      <c r="A261" s="19"/>
      <c r="B261" s="19"/>
      <c r="C261" s="19"/>
      <c r="D261" s="19"/>
      <c r="E261" s="20"/>
      <c r="F261" s="20"/>
      <c r="G261" s="20"/>
      <c r="I261"/>
      <c r="J261" s="98"/>
    </row>
    <row r="262" spans="1:11">
      <c r="A262" s="19"/>
      <c r="B262" s="19"/>
      <c r="C262" s="19" t="s">
        <v>380</v>
      </c>
      <c r="D262" s="19"/>
      <c r="E262" s="20"/>
      <c r="F262" s="20"/>
      <c r="G262" s="20"/>
      <c r="I262"/>
      <c r="J262" s="98"/>
    </row>
    <row r="263" spans="1:11">
      <c r="A263" s="19" t="s">
        <v>1125</v>
      </c>
      <c r="B263" s="19" t="s">
        <v>1054</v>
      </c>
      <c r="C263" s="19" t="s">
        <v>241</v>
      </c>
      <c r="D263" s="19"/>
      <c r="E263" s="32">
        <v>3500</v>
      </c>
      <c r="F263" s="32">
        <v>0</v>
      </c>
      <c r="G263" s="32">
        <v>13579.27</v>
      </c>
      <c r="H263" s="32">
        <v>15000</v>
      </c>
      <c r="I263" s="32">
        <v>3500</v>
      </c>
      <c r="J263" s="95"/>
      <c r="K263"/>
    </row>
    <row r="264" spans="1:11" s="3" customFormat="1" ht="15.75" thickBot="1">
      <c r="A264" s="41"/>
      <c r="B264" s="41"/>
      <c r="C264" s="41" t="s">
        <v>1060</v>
      </c>
      <c r="D264" s="41"/>
      <c r="E264" s="167">
        <f>SUM(E263)</f>
        <v>3500</v>
      </c>
      <c r="F264" s="167">
        <f t="shared" ref="F264:I264" si="46">F263</f>
        <v>0</v>
      </c>
      <c r="G264" s="167">
        <f>G263</f>
        <v>13579.27</v>
      </c>
      <c r="H264" s="167">
        <f t="shared" si="46"/>
        <v>15000</v>
      </c>
      <c r="I264" s="167">
        <f t="shared" si="46"/>
        <v>3500</v>
      </c>
      <c r="J264" s="164"/>
    </row>
    <row r="265" spans="1:11" ht="15.75" thickTop="1">
      <c r="A265" s="19"/>
      <c r="B265" s="19"/>
      <c r="C265" s="19"/>
      <c r="D265" s="19"/>
      <c r="E265" s="196"/>
      <c r="F265" s="196"/>
      <c r="G265" s="196"/>
      <c r="H265" s="196"/>
      <c r="I265" s="196"/>
      <c r="J265" s="95"/>
      <c r="K265"/>
    </row>
    <row r="266" spans="1:11">
      <c r="A266" s="19"/>
      <c r="B266" s="19"/>
      <c r="C266" s="19" t="s">
        <v>281</v>
      </c>
      <c r="D266" s="19"/>
      <c r="E266" s="20"/>
      <c r="F266" s="20"/>
      <c r="G266" s="20"/>
      <c r="I266"/>
      <c r="J266" s="98"/>
    </row>
    <row r="267" spans="1:11">
      <c r="A267" s="19" t="s">
        <v>915</v>
      </c>
      <c r="B267" s="19"/>
      <c r="C267" s="19" t="s">
        <v>310</v>
      </c>
      <c r="D267" s="19"/>
      <c r="E267" s="32">
        <v>2000</v>
      </c>
      <c r="F267" s="32">
        <v>0</v>
      </c>
      <c r="G267" s="32">
        <v>0</v>
      </c>
      <c r="H267" s="37">
        <v>0</v>
      </c>
      <c r="I267" s="32">
        <v>0</v>
      </c>
      <c r="J267" s="95"/>
      <c r="K267"/>
    </row>
    <row r="268" spans="1:11" s="3" customFormat="1" ht="15.75" thickBot="1">
      <c r="A268" s="41"/>
      <c r="B268" s="41"/>
      <c r="C268" s="41" t="s">
        <v>823</v>
      </c>
      <c r="D268" s="41"/>
      <c r="E268" s="167">
        <f>SUM(E267)</f>
        <v>2000</v>
      </c>
      <c r="F268" s="167">
        <f t="shared" ref="F268:I268" si="47">SUM(F267)</f>
        <v>0</v>
      </c>
      <c r="G268" s="167">
        <f t="shared" si="47"/>
        <v>0</v>
      </c>
      <c r="H268" s="167">
        <f t="shared" si="47"/>
        <v>0</v>
      </c>
      <c r="I268" s="167">
        <f t="shared" si="47"/>
        <v>0</v>
      </c>
      <c r="J268" s="164"/>
    </row>
    <row r="269" spans="1:11" ht="15.75" thickTop="1">
      <c r="A269" s="19"/>
      <c r="B269" s="19"/>
      <c r="C269" s="19"/>
      <c r="D269" s="19"/>
      <c r="E269" s="196"/>
      <c r="F269" s="196"/>
      <c r="G269" s="196"/>
      <c r="H269" s="196"/>
      <c r="I269" s="196"/>
      <c r="J269" s="95"/>
      <c r="K269"/>
    </row>
    <row r="270" spans="1:11">
      <c r="A270" s="19"/>
      <c r="B270" s="19"/>
      <c r="C270" s="19" t="s">
        <v>37</v>
      </c>
      <c r="D270" s="19"/>
      <c r="E270" s="20"/>
      <c r="F270" s="20"/>
      <c r="G270" s="20"/>
      <c r="I270" s="20"/>
      <c r="J270" s="95"/>
      <c r="K270"/>
    </row>
    <row r="271" spans="1:11">
      <c r="A271" s="19" t="s">
        <v>731</v>
      </c>
      <c r="B271" s="19"/>
      <c r="C271" s="19" t="s">
        <v>836</v>
      </c>
      <c r="D271" s="19"/>
      <c r="E271" s="32">
        <v>23878</v>
      </c>
      <c r="F271" s="32">
        <v>0</v>
      </c>
      <c r="G271" s="32">
        <v>23982.06</v>
      </c>
      <c r="H271" s="37">
        <v>23982.06</v>
      </c>
      <c r="I271" s="32">
        <v>0</v>
      </c>
      <c r="J271" s="95"/>
      <c r="K271"/>
    </row>
    <row r="272" spans="1:11" s="3" customFormat="1" ht="15.75" thickBot="1">
      <c r="A272" s="41"/>
      <c r="B272" s="41"/>
      <c r="C272" s="41" t="s">
        <v>835</v>
      </c>
      <c r="D272" s="41"/>
      <c r="E272" s="167">
        <f>SUM(E271)</f>
        <v>23878</v>
      </c>
      <c r="F272" s="167">
        <f t="shared" ref="F272:I272" si="48">SUM(F271)</f>
        <v>0</v>
      </c>
      <c r="G272" s="167">
        <f t="shared" si="48"/>
        <v>23982.06</v>
      </c>
      <c r="H272" s="167">
        <f t="shared" si="48"/>
        <v>23982.06</v>
      </c>
      <c r="I272" s="167">
        <f t="shared" si="48"/>
        <v>0</v>
      </c>
      <c r="J272" s="164"/>
    </row>
    <row r="273" spans="1:11" ht="15.75" thickTop="1">
      <c r="A273" s="19"/>
      <c r="B273" s="19"/>
      <c r="C273" s="19"/>
      <c r="D273" s="19"/>
      <c r="E273" s="20"/>
      <c r="F273" s="20"/>
      <c r="G273" s="20"/>
      <c r="I273" s="20"/>
      <c r="J273" s="95"/>
      <c r="K273"/>
    </row>
    <row r="274" spans="1:11" ht="15.75" thickBot="1">
      <c r="A274" s="19"/>
      <c r="B274" s="19"/>
      <c r="C274" s="41" t="s">
        <v>824</v>
      </c>
      <c r="D274" s="19"/>
      <c r="E274" s="171">
        <f>E217+E221+E249+E255+E260+E264+E268+E272</f>
        <v>565400.5</v>
      </c>
      <c r="F274" s="171">
        <f>F217+F221+F249+F255+F260+F264+F268+F272</f>
        <v>0</v>
      </c>
      <c r="G274" s="171">
        <f>G217+G221+G249+G255+G260+G264+G268+G272</f>
        <v>518725.96000000008</v>
      </c>
      <c r="H274" s="171">
        <f>H217+H221+H249+H255+H260+H264+H268+H272</f>
        <v>563526.51096106065</v>
      </c>
      <c r="I274" s="171">
        <f>I217+I221+I249+I255+I260+I264+I268+I272</f>
        <v>502393.5</v>
      </c>
      <c r="J274" s="95"/>
      <c r="K274"/>
    </row>
    <row r="275" spans="1:11" ht="15.75" thickTop="1">
      <c r="A275" s="19"/>
      <c r="B275" s="19"/>
      <c r="C275" s="19"/>
      <c r="D275" s="19"/>
      <c r="E275" s="20"/>
      <c r="F275" s="20"/>
      <c r="G275" s="20"/>
      <c r="I275" s="20"/>
      <c r="J275" s="95"/>
      <c r="K275"/>
    </row>
    <row r="276" spans="1:11">
      <c r="A276" s="19"/>
      <c r="B276" s="19"/>
      <c r="C276" s="19"/>
      <c r="D276" s="19"/>
      <c r="E276" s="20"/>
      <c r="F276" s="20"/>
      <c r="G276" s="20"/>
      <c r="I276" s="20"/>
      <c r="J276" s="168"/>
    </row>
    <row r="277" spans="1:11">
      <c r="A277" s="201" t="s">
        <v>699</v>
      </c>
      <c r="B277" s="201"/>
      <c r="C277" s="201"/>
      <c r="D277" s="201"/>
      <c r="E277" s="201"/>
      <c r="F277" s="201"/>
      <c r="G277" s="201"/>
      <c r="H277" s="201"/>
      <c r="I277" s="201"/>
      <c r="J277" s="201"/>
      <c r="K277"/>
    </row>
    <row r="278" spans="1:11">
      <c r="A278" s="19" t="s">
        <v>13</v>
      </c>
      <c r="B278" s="19"/>
      <c r="C278" s="19" t="s">
        <v>204</v>
      </c>
      <c r="D278" s="19"/>
      <c r="E278" s="32" t="s">
        <v>13</v>
      </c>
      <c r="F278" s="32" t="s">
        <v>13</v>
      </c>
      <c r="G278" s="32" t="s">
        <v>276</v>
      </c>
      <c r="H278" s="37" t="s">
        <v>13</v>
      </c>
      <c r="I278" s="32" t="s">
        <v>13</v>
      </c>
      <c r="J278" s="168"/>
    </row>
    <row r="279" spans="1:11">
      <c r="A279" s="19" t="s">
        <v>277</v>
      </c>
      <c r="B279" s="19"/>
      <c r="C279" s="19" t="s">
        <v>864</v>
      </c>
      <c r="D279" s="19"/>
      <c r="E279" s="32">
        <v>19000</v>
      </c>
      <c r="F279" s="32">
        <v>0</v>
      </c>
      <c r="G279" s="32">
        <v>4941.3</v>
      </c>
      <c r="H279" s="32">
        <f>(G279/24)*26</f>
        <v>5353.0750000000007</v>
      </c>
      <c r="I279" s="32">
        <v>8500</v>
      </c>
      <c r="J279" s="95"/>
      <c r="K279"/>
    </row>
    <row r="280" spans="1:11" ht="15.75" thickBot="1">
      <c r="A280" s="19"/>
      <c r="B280" s="19"/>
      <c r="C280" s="19" t="s">
        <v>825</v>
      </c>
      <c r="D280" s="19"/>
      <c r="E280" s="172">
        <f>SUM(E279)</f>
        <v>19000</v>
      </c>
      <c r="F280" s="172">
        <f t="shared" ref="F280:I280" si="49">SUM(F279)</f>
        <v>0</v>
      </c>
      <c r="G280" s="172">
        <f t="shared" si="49"/>
        <v>4941.3</v>
      </c>
      <c r="H280" s="172">
        <f t="shared" si="49"/>
        <v>5353.0750000000007</v>
      </c>
      <c r="I280" s="172">
        <f t="shared" si="49"/>
        <v>8500</v>
      </c>
      <c r="J280" s="95"/>
      <c r="K280"/>
    </row>
    <row r="281" spans="1:11" ht="15.75" thickTop="1">
      <c r="A281" s="19" t="s">
        <v>13</v>
      </c>
      <c r="B281" s="19"/>
      <c r="C281" s="19" t="s">
        <v>13</v>
      </c>
      <c r="D281" s="19" t="s">
        <v>13</v>
      </c>
      <c r="E281" s="32" t="s">
        <v>13</v>
      </c>
      <c r="F281" s="32" t="s">
        <v>13</v>
      </c>
      <c r="G281" s="32" t="s">
        <v>13</v>
      </c>
      <c r="H281" s="37" t="s">
        <v>13</v>
      </c>
      <c r="I281" s="32" t="s">
        <v>13</v>
      </c>
      <c r="J281" s="95"/>
      <c r="K281"/>
    </row>
    <row r="282" spans="1:11">
      <c r="A282" s="19" t="s">
        <v>13</v>
      </c>
      <c r="B282" s="19" t="s">
        <v>13</v>
      </c>
      <c r="C282" s="19" t="s">
        <v>205</v>
      </c>
      <c r="D282" s="19"/>
      <c r="E282" s="32" t="s">
        <v>13</v>
      </c>
      <c r="F282" s="32" t="s">
        <v>13</v>
      </c>
      <c r="G282" s="32" t="s">
        <v>13</v>
      </c>
      <c r="H282" s="37" t="s">
        <v>13</v>
      </c>
      <c r="I282" s="32" t="s">
        <v>13</v>
      </c>
      <c r="J282" s="95"/>
      <c r="K282"/>
    </row>
    <row r="283" spans="1:11">
      <c r="A283" s="19" t="s">
        <v>278</v>
      </c>
      <c r="B283" s="19"/>
      <c r="C283" s="19" t="s">
        <v>215</v>
      </c>
      <c r="D283" s="19"/>
      <c r="E283" s="32">
        <f>E280*0.0765</f>
        <v>1453.5</v>
      </c>
      <c r="F283" s="32">
        <v>0</v>
      </c>
      <c r="G283" s="32">
        <v>378.05</v>
      </c>
      <c r="H283" s="32">
        <f>H280*0.0765</f>
        <v>409.51023750000007</v>
      </c>
      <c r="I283" s="32">
        <f>I280*0.0765</f>
        <v>650.25</v>
      </c>
      <c r="J283" s="95"/>
      <c r="K283"/>
    </row>
    <row r="284" spans="1:11">
      <c r="A284" s="19" t="s">
        <v>1220</v>
      </c>
      <c r="B284" s="19" t="s">
        <v>1054</v>
      </c>
      <c r="C284" s="19" t="s">
        <v>1219</v>
      </c>
      <c r="D284" s="19"/>
      <c r="E284" s="32">
        <v>0</v>
      </c>
      <c r="F284" s="32">
        <v>0</v>
      </c>
      <c r="G284" s="32">
        <v>0</v>
      </c>
      <c r="H284" s="32">
        <v>0</v>
      </c>
      <c r="I284" s="32">
        <v>0</v>
      </c>
      <c r="J284" s="95"/>
      <c r="K284"/>
    </row>
    <row r="285" spans="1:11" ht="15.75" thickBot="1">
      <c r="A285" s="19" t="s">
        <v>13</v>
      </c>
      <c r="B285" s="19"/>
      <c r="C285" s="19" t="s">
        <v>821</v>
      </c>
      <c r="D285" s="19"/>
      <c r="E285" s="172">
        <f>SUM(E283:E284)</f>
        <v>1453.5</v>
      </c>
      <c r="F285" s="172">
        <f t="shared" ref="F285:I285" si="50">SUM(F283:F284)</f>
        <v>0</v>
      </c>
      <c r="G285" s="172">
        <f t="shared" si="50"/>
        <v>378.05</v>
      </c>
      <c r="H285" s="172">
        <f t="shared" si="50"/>
        <v>409.51023750000007</v>
      </c>
      <c r="I285" s="172">
        <f t="shared" si="50"/>
        <v>650.25</v>
      </c>
      <c r="J285" s="95"/>
      <c r="K285"/>
    </row>
    <row r="286" spans="1:11" ht="15.75" thickTop="1">
      <c r="A286" s="19"/>
      <c r="B286" s="19"/>
      <c r="C286" s="19"/>
      <c r="D286" s="19"/>
      <c r="E286" s="82"/>
      <c r="F286" s="82"/>
      <c r="G286" s="82"/>
      <c r="H286" s="82"/>
      <c r="I286" s="82"/>
      <c r="J286" s="95"/>
      <c r="K286"/>
    </row>
    <row r="287" spans="1:11" s="3" customFormat="1" ht="15.75" thickBot="1">
      <c r="A287" s="41"/>
      <c r="B287" s="41"/>
      <c r="C287" s="41" t="s">
        <v>814</v>
      </c>
      <c r="D287" s="41"/>
      <c r="E287" s="167">
        <f>E280+E285</f>
        <v>20453.5</v>
      </c>
      <c r="F287" s="167">
        <f t="shared" ref="F287:I287" si="51">F280+F285</f>
        <v>0</v>
      </c>
      <c r="G287" s="167">
        <f t="shared" si="51"/>
        <v>5319.35</v>
      </c>
      <c r="H287" s="167">
        <f t="shared" si="51"/>
        <v>5762.5852375000004</v>
      </c>
      <c r="I287" s="167">
        <f t="shared" si="51"/>
        <v>9150.25</v>
      </c>
      <c r="J287" s="164"/>
    </row>
    <row r="288" spans="1:11" ht="15.75" thickTop="1">
      <c r="A288" s="19" t="s">
        <v>13</v>
      </c>
      <c r="B288" s="19"/>
      <c r="C288" s="19" t="s">
        <v>13</v>
      </c>
      <c r="D288" s="19"/>
      <c r="E288" s="32" t="s">
        <v>13</v>
      </c>
      <c r="F288" s="32" t="s">
        <v>13</v>
      </c>
      <c r="G288" s="32" t="s">
        <v>13</v>
      </c>
      <c r="H288" s="37" t="s">
        <v>13</v>
      </c>
      <c r="I288" s="32" t="s">
        <v>13</v>
      </c>
      <c r="J288" s="95"/>
      <c r="K288"/>
    </row>
    <row r="289" spans="1:11">
      <c r="A289" s="19" t="s">
        <v>13</v>
      </c>
      <c r="B289" s="19"/>
      <c r="C289" s="19" t="s">
        <v>212</v>
      </c>
      <c r="D289" s="19"/>
      <c r="E289" s="32" t="s">
        <v>13</v>
      </c>
      <c r="F289" s="32" t="s">
        <v>13</v>
      </c>
      <c r="G289" s="32" t="s">
        <v>13</v>
      </c>
      <c r="H289" s="37" t="s">
        <v>13</v>
      </c>
      <c r="I289" s="32" t="s">
        <v>13</v>
      </c>
      <c r="J289" s="95"/>
      <c r="K289"/>
    </row>
    <row r="290" spans="1:11">
      <c r="A290" s="19" t="s">
        <v>279</v>
      </c>
      <c r="B290" s="19"/>
      <c r="C290" s="19" t="s">
        <v>280</v>
      </c>
      <c r="D290" s="19"/>
      <c r="E290" s="32">
        <v>5500</v>
      </c>
      <c r="F290" s="32">
        <v>0</v>
      </c>
      <c r="G290" s="32">
        <v>1267.1500000000001</v>
      </c>
      <c r="H290" s="32">
        <f>(G290/11)*12</f>
        <v>1382.3454545454547</v>
      </c>
      <c r="I290" s="32">
        <v>2000</v>
      </c>
      <c r="J290" s="95"/>
      <c r="K290"/>
    </row>
    <row r="291" spans="1:11">
      <c r="A291" s="19" t="s">
        <v>632</v>
      </c>
      <c r="B291" s="19" t="s">
        <v>1054</v>
      </c>
      <c r="C291" s="19" t="s">
        <v>36</v>
      </c>
      <c r="D291" s="19"/>
      <c r="E291" s="32">
        <v>0</v>
      </c>
      <c r="F291" s="32">
        <v>0</v>
      </c>
      <c r="G291" s="32">
        <v>5520</v>
      </c>
      <c r="H291" s="37">
        <v>5520</v>
      </c>
      <c r="I291" s="32">
        <v>0</v>
      </c>
      <c r="J291" s="95" t="s">
        <v>1301</v>
      </c>
      <c r="K291"/>
    </row>
    <row r="292" spans="1:11" s="3" customFormat="1" ht="15.75" thickBot="1">
      <c r="A292" s="41" t="s">
        <v>13</v>
      </c>
      <c r="B292" s="41"/>
      <c r="C292" s="41" t="s">
        <v>817</v>
      </c>
      <c r="D292" s="41"/>
      <c r="E292" s="167">
        <f>SUM(E290:E291)</f>
        <v>5500</v>
      </c>
      <c r="F292" s="167">
        <f t="shared" ref="F292:I292" si="52">SUM(F290:F291)</f>
        <v>0</v>
      </c>
      <c r="G292" s="167">
        <f t="shared" si="52"/>
        <v>6787.15</v>
      </c>
      <c r="H292" s="167">
        <f t="shared" si="52"/>
        <v>6902.3454545454551</v>
      </c>
      <c r="I292" s="167">
        <f t="shared" si="52"/>
        <v>2000</v>
      </c>
      <c r="J292" s="164"/>
    </row>
    <row r="293" spans="1:11" ht="15.75" thickTop="1">
      <c r="A293" s="19" t="s">
        <v>13</v>
      </c>
      <c r="B293" s="19"/>
      <c r="C293" s="19" t="s">
        <v>13</v>
      </c>
      <c r="D293" s="19"/>
      <c r="E293" s="32" t="s">
        <v>13</v>
      </c>
      <c r="F293" s="32"/>
      <c r="G293" s="32" t="s">
        <v>13</v>
      </c>
      <c r="H293" s="37" t="s">
        <v>13</v>
      </c>
      <c r="I293" s="32" t="s">
        <v>13</v>
      </c>
      <c r="J293" s="95"/>
      <c r="K293"/>
    </row>
    <row r="294" spans="1:11" ht="15.75" thickBot="1">
      <c r="A294" s="19"/>
      <c r="B294" s="19"/>
      <c r="C294" s="41" t="s">
        <v>826</v>
      </c>
      <c r="D294" s="19"/>
      <c r="E294" s="167">
        <f>E287+E292</f>
        <v>25953.5</v>
      </c>
      <c r="F294" s="167">
        <f t="shared" ref="F294:I294" si="53">F287+F292</f>
        <v>0</v>
      </c>
      <c r="G294" s="167">
        <f t="shared" si="53"/>
        <v>12106.5</v>
      </c>
      <c r="H294" s="167">
        <f t="shared" si="53"/>
        <v>12664.930692045455</v>
      </c>
      <c r="I294" s="167">
        <f t="shared" si="53"/>
        <v>11150.25</v>
      </c>
      <c r="J294" s="95"/>
      <c r="K294"/>
    </row>
    <row r="295" spans="1:11" ht="15.75" thickTop="1">
      <c r="A295" s="19"/>
      <c r="B295" s="19"/>
      <c r="C295" s="19"/>
      <c r="D295" s="19"/>
      <c r="E295" s="32"/>
      <c r="F295" s="32"/>
      <c r="G295" s="32"/>
      <c r="H295" s="37"/>
      <c r="I295" s="32"/>
      <c r="J295" s="168"/>
    </row>
    <row r="296" spans="1:11">
      <c r="A296" s="19" t="s">
        <v>13</v>
      </c>
      <c r="B296" s="19"/>
      <c r="C296" s="19" t="s">
        <v>13</v>
      </c>
      <c r="D296" s="19"/>
      <c r="E296" s="32" t="s">
        <v>13</v>
      </c>
      <c r="F296" s="32" t="s">
        <v>13</v>
      </c>
      <c r="G296" s="32" t="s">
        <v>13</v>
      </c>
      <c r="H296" s="37" t="s">
        <v>13</v>
      </c>
      <c r="I296" s="32" t="s">
        <v>13</v>
      </c>
      <c r="J296" s="168"/>
    </row>
    <row r="297" spans="1:11">
      <c r="A297" s="201" t="s">
        <v>700</v>
      </c>
      <c r="B297" s="201"/>
      <c r="C297" s="201"/>
      <c r="D297" s="201"/>
      <c r="E297" s="201"/>
      <c r="F297" s="201"/>
      <c r="G297" s="201"/>
      <c r="H297" s="201"/>
      <c r="I297" s="201"/>
      <c r="J297" s="201"/>
      <c r="K297"/>
    </row>
    <row r="298" spans="1:11">
      <c r="A298" s="19" t="s">
        <v>13</v>
      </c>
      <c r="B298" s="19"/>
      <c r="C298" s="19" t="s">
        <v>204</v>
      </c>
      <c r="D298" s="19"/>
      <c r="E298" s="32" t="s">
        <v>13</v>
      </c>
      <c r="F298" s="32" t="s">
        <v>13</v>
      </c>
      <c r="G298" s="32" t="s">
        <v>13</v>
      </c>
      <c r="H298" s="37" t="s">
        <v>13</v>
      </c>
      <c r="I298" s="32" t="s">
        <v>13</v>
      </c>
      <c r="J298" s="168"/>
    </row>
    <row r="299" spans="1:11">
      <c r="A299" s="19" t="s">
        <v>282</v>
      </c>
      <c r="B299" s="19"/>
      <c r="C299" s="19" t="s">
        <v>865</v>
      </c>
      <c r="D299" s="19"/>
      <c r="E299" s="32">
        <v>330000</v>
      </c>
      <c r="F299" s="32">
        <v>0</v>
      </c>
      <c r="G299" s="32">
        <v>255293.04</v>
      </c>
      <c r="H299" s="32">
        <f>(G299/24)*26</f>
        <v>276567.46000000002</v>
      </c>
      <c r="I299" s="32">
        <v>384000</v>
      </c>
      <c r="J299" s="95" t="s">
        <v>1290</v>
      </c>
      <c r="K299"/>
    </row>
    <row r="300" spans="1:11">
      <c r="A300" s="19" t="s">
        <v>283</v>
      </c>
      <c r="B300" s="19"/>
      <c r="C300" s="19" t="s">
        <v>866</v>
      </c>
      <c r="D300" s="19"/>
      <c r="E300" s="32">
        <v>30000</v>
      </c>
      <c r="F300" s="32">
        <v>0</v>
      </c>
      <c r="G300" s="32">
        <v>38319.160000000003</v>
      </c>
      <c r="H300" s="32">
        <f t="shared" ref="H300" si="54">(G300/9)*12</f>
        <v>51092.21333333334</v>
      </c>
      <c r="I300" s="32">
        <v>30000</v>
      </c>
      <c r="J300" s="95"/>
      <c r="K300"/>
    </row>
    <row r="301" spans="1:11" ht="15.75" thickBot="1">
      <c r="A301" s="19" t="s">
        <v>13</v>
      </c>
      <c r="B301" s="19"/>
      <c r="C301" s="19" t="s">
        <v>820</v>
      </c>
      <c r="D301" s="19"/>
      <c r="E301" s="172">
        <f>SUM(E299:E300)</f>
        <v>360000</v>
      </c>
      <c r="F301" s="172">
        <f t="shared" ref="F301:I301" si="55">SUM(F299:F300)</f>
        <v>0</v>
      </c>
      <c r="G301" s="172">
        <f t="shared" si="55"/>
        <v>293612.2</v>
      </c>
      <c r="H301" s="172">
        <f t="shared" si="55"/>
        <v>327659.67333333334</v>
      </c>
      <c r="I301" s="172">
        <f t="shared" si="55"/>
        <v>414000</v>
      </c>
      <c r="J301" s="95"/>
      <c r="K301"/>
    </row>
    <row r="302" spans="1:11" ht="15.75" thickTop="1">
      <c r="A302" s="19" t="s">
        <v>13</v>
      </c>
      <c r="B302" s="19" t="s">
        <v>13</v>
      </c>
      <c r="C302" s="19" t="s">
        <v>13</v>
      </c>
      <c r="D302" s="19" t="s">
        <v>13</v>
      </c>
      <c r="E302" s="32" t="s">
        <v>13</v>
      </c>
      <c r="F302" s="32" t="s">
        <v>13</v>
      </c>
      <c r="G302" s="32" t="s">
        <v>13</v>
      </c>
      <c r="H302" s="37" t="s">
        <v>13</v>
      </c>
      <c r="I302" s="32" t="s">
        <v>13</v>
      </c>
      <c r="J302" s="168"/>
    </row>
    <row r="303" spans="1:11">
      <c r="A303" s="19" t="s">
        <v>13</v>
      </c>
      <c r="B303" s="19"/>
      <c r="C303" s="19" t="s">
        <v>205</v>
      </c>
      <c r="D303" s="19"/>
      <c r="E303" s="32" t="s">
        <v>13</v>
      </c>
      <c r="F303" s="32" t="s">
        <v>13</v>
      </c>
      <c r="G303" s="32" t="s">
        <v>13</v>
      </c>
      <c r="H303" s="37" t="s">
        <v>13</v>
      </c>
      <c r="I303" s="32" t="s">
        <v>13</v>
      </c>
      <c r="J303" s="168"/>
    </row>
    <row r="304" spans="1:11">
      <c r="A304" s="19" t="s">
        <v>1248</v>
      </c>
      <c r="B304" s="19" t="s">
        <v>1054</v>
      </c>
      <c r="C304" s="19" t="s">
        <v>227</v>
      </c>
      <c r="D304" s="19"/>
      <c r="E304" s="32">
        <v>0</v>
      </c>
      <c r="F304" s="32">
        <v>0</v>
      </c>
      <c r="G304" s="32">
        <v>0</v>
      </c>
      <c r="H304" s="37">
        <v>0</v>
      </c>
      <c r="I304" s="32">
        <v>0</v>
      </c>
      <c r="J304" s="168"/>
    </row>
    <row r="305" spans="1:11">
      <c r="A305" s="19" t="s">
        <v>285</v>
      </c>
      <c r="B305" s="19"/>
      <c r="C305" s="19" t="s">
        <v>286</v>
      </c>
      <c r="D305" s="19"/>
      <c r="E305" s="82">
        <v>5235</v>
      </c>
      <c r="F305" s="82">
        <v>0</v>
      </c>
      <c r="G305" s="82">
        <v>5666.64</v>
      </c>
      <c r="H305" s="82">
        <f>(H301*0.0145)</f>
        <v>4751.0652633333339</v>
      </c>
      <c r="I305" s="82">
        <f>I301*0.0145</f>
        <v>6003</v>
      </c>
      <c r="J305" s="95"/>
      <c r="K305" s="97"/>
    </row>
    <row r="306" spans="1:11">
      <c r="A306" s="19" t="s">
        <v>287</v>
      </c>
      <c r="B306" s="19"/>
      <c r="C306" s="19" t="s">
        <v>288</v>
      </c>
      <c r="D306" s="19"/>
      <c r="E306" s="32">
        <v>28880</v>
      </c>
      <c r="F306" s="32">
        <v>0</v>
      </c>
      <c r="G306" s="32">
        <v>24636.71</v>
      </c>
      <c r="H306" s="37">
        <f>(H301*0.08)+12000</f>
        <v>38212.77386666667</v>
      </c>
      <c r="I306" s="37">
        <v>38000</v>
      </c>
      <c r="J306" s="94" t="s">
        <v>1300</v>
      </c>
      <c r="K306"/>
    </row>
    <row r="307" spans="1:11">
      <c r="A307" s="19" t="s">
        <v>1249</v>
      </c>
      <c r="B307" s="19" t="s">
        <v>1054</v>
      </c>
      <c r="C307" s="19" t="s">
        <v>231</v>
      </c>
      <c r="D307" s="19"/>
      <c r="E307" s="32">
        <v>0</v>
      </c>
      <c r="F307" s="32">
        <v>0</v>
      </c>
      <c r="G307" s="32">
        <v>0</v>
      </c>
      <c r="H307" s="32">
        <v>0</v>
      </c>
      <c r="I307" s="32">
        <v>0</v>
      </c>
      <c r="J307" s="94"/>
      <c r="K307"/>
    </row>
    <row r="308" spans="1:11">
      <c r="A308" s="19" t="s">
        <v>1221</v>
      </c>
      <c r="B308" s="19" t="s">
        <v>1054</v>
      </c>
      <c r="C308" s="19" t="s">
        <v>1219</v>
      </c>
      <c r="D308" s="19"/>
      <c r="E308" s="32">
        <v>0</v>
      </c>
      <c r="F308" s="32">
        <v>0</v>
      </c>
      <c r="G308" s="32">
        <v>0</v>
      </c>
      <c r="H308" s="32">
        <v>0</v>
      </c>
      <c r="I308" s="32">
        <v>0</v>
      </c>
      <c r="J308" s="94"/>
      <c r="K308"/>
    </row>
    <row r="309" spans="1:11">
      <c r="A309" s="19" t="s">
        <v>1250</v>
      </c>
      <c r="B309" s="19" t="s">
        <v>1054</v>
      </c>
      <c r="C309" s="19" t="s">
        <v>234</v>
      </c>
      <c r="D309" s="19"/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94"/>
      <c r="K309"/>
    </row>
    <row r="310" spans="1:11">
      <c r="A310" s="19"/>
      <c r="B310" s="19"/>
      <c r="C310" s="19"/>
      <c r="D310" s="19"/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94"/>
      <c r="K310"/>
    </row>
    <row r="311" spans="1:11" ht="15.75" thickBot="1">
      <c r="A311" s="19"/>
      <c r="B311" s="19"/>
      <c r="C311" s="19" t="s">
        <v>821</v>
      </c>
      <c r="D311" s="19"/>
      <c r="E311" s="172">
        <f>SUM(E304:E310)</f>
        <v>34115</v>
      </c>
      <c r="F311" s="172">
        <f t="shared" ref="F311:I311" si="56">SUM(F304:F310)</f>
        <v>0</v>
      </c>
      <c r="G311" s="172">
        <f t="shared" si="56"/>
        <v>30303.35</v>
      </c>
      <c r="H311" s="172">
        <f t="shared" si="56"/>
        <v>42963.839130000008</v>
      </c>
      <c r="I311" s="172">
        <f t="shared" si="56"/>
        <v>44003</v>
      </c>
      <c r="J311" s="95"/>
      <c r="K311"/>
    </row>
    <row r="312" spans="1:11" ht="15.75" thickTop="1">
      <c r="A312" s="19"/>
      <c r="B312" s="19"/>
      <c r="C312" s="19"/>
      <c r="D312" s="19"/>
      <c r="E312" s="32"/>
      <c r="F312" s="32"/>
      <c r="G312" s="32"/>
      <c r="H312" s="37"/>
      <c r="I312" s="32"/>
      <c r="J312" s="168"/>
    </row>
    <row r="313" spans="1:11" s="3" customFormat="1" ht="15.75" thickBot="1">
      <c r="A313" s="41"/>
      <c r="B313" s="41"/>
      <c r="C313" s="41" t="s">
        <v>814</v>
      </c>
      <c r="D313" s="41"/>
      <c r="E313" s="167">
        <f>E301+E311</f>
        <v>394115</v>
      </c>
      <c r="F313" s="167">
        <f t="shared" ref="F313:I313" si="57">F301+F311</f>
        <v>0</v>
      </c>
      <c r="G313" s="167">
        <f t="shared" si="57"/>
        <v>323915.55</v>
      </c>
      <c r="H313" s="167">
        <f t="shared" si="57"/>
        <v>370623.51246333332</v>
      </c>
      <c r="I313" s="167">
        <f t="shared" si="57"/>
        <v>458003</v>
      </c>
      <c r="J313" s="164"/>
    </row>
    <row r="314" spans="1:11" ht="15.75" thickTop="1">
      <c r="A314" s="19"/>
      <c r="B314" s="19"/>
      <c r="C314" s="19"/>
      <c r="D314" s="19"/>
      <c r="E314" s="20"/>
      <c r="F314" s="20"/>
      <c r="G314" s="20"/>
      <c r="I314" s="20"/>
      <c r="J314" s="168"/>
    </row>
    <row r="315" spans="1:11">
      <c r="A315" s="19" t="s">
        <v>13</v>
      </c>
      <c r="B315" s="19"/>
      <c r="C315" s="19" t="s">
        <v>207</v>
      </c>
      <c r="D315" s="19"/>
      <c r="E315" s="32" t="s">
        <v>13</v>
      </c>
      <c r="F315" s="32" t="s">
        <v>13</v>
      </c>
      <c r="G315" s="32" t="s">
        <v>13</v>
      </c>
      <c r="H315" s="37" t="s">
        <v>13</v>
      </c>
      <c r="I315" s="32" t="s">
        <v>13</v>
      </c>
      <c r="J315" s="168"/>
    </row>
    <row r="316" spans="1:11">
      <c r="A316" s="19" t="s">
        <v>289</v>
      </c>
      <c r="B316" s="19" t="s">
        <v>1054</v>
      </c>
      <c r="C316" s="19" t="s">
        <v>290</v>
      </c>
      <c r="D316" s="19"/>
      <c r="E316" s="32">
        <v>2000</v>
      </c>
      <c r="F316" s="32">
        <v>0</v>
      </c>
      <c r="G316" s="32">
        <v>1141.17</v>
      </c>
      <c r="H316" s="32">
        <f>(G316/11)*12</f>
        <v>1244.9127272727274</v>
      </c>
      <c r="I316" s="32">
        <v>2000</v>
      </c>
      <c r="J316" s="98"/>
      <c r="K316"/>
    </row>
    <row r="317" spans="1:11" s="3" customFormat="1" ht="15.75" thickBot="1">
      <c r="A317" s="41"/>
      <c r="B317" s="41"/>
      <c r="C317" s="41" t="s">
        <v>815</v>
      </c>
      <c r="D317" s="41"/>
      <c r="E317" s="167">
        <f>SUM(E316)</f>
        <v>2000</v>
      </c>
      <c r="F317" s="167">
        <f t="shared" ref="F317:I317" si="58">SUM(F316)</f>
        <v>0</v>
      </c>
      <c r="G317" s="167">
        <f t="shared" si="58"/>
        <v>1141.17</v>
      </c>
      <c r="H317" s="167">
        <f t="shared" si="58"/>
        <v>1244.9127272727274</v>
      </c>
      <c r="I317" s="167">
        <f t="shared" si="58"/>
        <v>2000</v>
      </c>
      <c r="J317" s="173"/>
    </row>
    <row r="318" spans="1:11" ht="15.75" thickTop="1">
      <c r="A318" s="19"/>
      <c r="B318" s="19"/>
      <c r="C318" s="19"/>
      <c r="D318" s="19"/>
      <c r="E318" s="20"/>
      <c r="F318" s="20"/>
      <c r="G318" s="20"/>
      <c r="I318" s="20"/>
      <c r="J318" s="168"/>
    </row>
    <row r="319" spans="1:11">
      <c r="A319" s="19" t="s">
        <v>13</v>
      </c>
      <c r="B319" s="19"/>
      <c r="C319" s="19" t="s">
        <v>210</v>
      </c>
      <c r="D319" s="19"/>
      <c r="E319" s="32" t="s">
        <v>13</v>
      </c>
      <c r="F319" s="32" t="s">
        <v>13</v>
      </c>
      <c r="G319" s="32" t="s">
        <v>13</v>
      </c>
      <c r="H319" s="37" t="s">
        <v>13</v>
      </c>
      <c r="I319" s="32" t="s">
        <v>13</v>
      </c>
      <c r="J319" s="168"/>
    </row>
    <row r="320" spans="1:11">
      <c r="A320" s="19" t="s">
        <v>291</v>
      </c>
      <c r="B320" s="19"/>
      <c r="C320" s="19" t="s">
        <v>243</v>
      </c>
      <c r="D320" s="19"/>
      <c r="E320" s="32">
        <v>220</v>
      </c>
      <c r="F320" s="32">
        <v>0</v>
      </c>
      <c r="G320" s="32">
        <v>181</v>
      </c>
      <c r="H320" s="32">
        <f>(G320/11)*12</f>
        <v>197.45454545454544</v>
      </c>
      <c r="I320" s="32">
        <f>330</f>
        <v>330</v>
      </c>
      <c r="J320" s="95"/>
      <c r="K320"/>
    </row>
    <row r="321" spans="1:11">
      <c r="A321" s="19" t="s">
        <v>1231</v>
      </c>
      <c r="B321" s="19" t="s">
        <v>1054</v>
      </c>
      <c r="C321" s="19" t="s">
        <v>1232</v>
      </c>
      <c r="D321" s="19"/>
      <c r="E321" s="32">
        <v>0</v>
      </c>
      <c r="F321" s="32">
        <v>0</v>
      </c>
      <c r="G321" s="32"/>
      <c r="H321" s="32"/>
      <c r="I321" s="32"/>
      <c r="J321" s="95"/>
      <c r="K321"/>
    </row>
    <row r="322" spans="1:11">
      <c r="A322" s="19" t="s">
        <v>959</v>
      </c>
      <c r="B322" s="19"/>
      <c r="C322" s="19" t="s">
        <v>960</v>
      </c>
      <c r="D322" s="19"/>
      <c r="E322" s="32">
        <v>0</v>
      </c>
      <c r="F322" s="32">
        <v>0</v>
      </c>
      <c r="G322" s="32">
        <v>885.71</v>
      </c>
      <c r="H322" s="32">
        <v>885.71</v>
      </c>
      <c r="I322" s="32">
        <v>0</v>
      </c>
      <c r="J322" s="95"/>
      <c r="K322"/>
    </row>
    <row r="323" spans="1:11">
      <c r="A323" s="19" t="s">
        <v>1020</v>
      </c>
      <c r="B323" s="19" t="s">
        <v>1054</v>
      </c>
      <c r="C323" s="19" t="s">
        <v>1021</v>
      </c>
      <c r="D323" s="19"/>
      <c r="E323" s="32">
        <v>0</v>
      </c>
      <c r="F323" s="32">
        <v>0</v>
      </c>
      <c r="G323" s="32">
        <v>1463.94</v>
      </c>
      <c r="H323" s="32">
        <f>(G323/11)*12</f>
        <v>1597.0254545454545</v>
      </c>
      <c r="I323" s="32">
        <v>1645</v>
      </c>
      <c r="J323" s="95"/>
      <c r="K323"/>
    </row>
    <row r="324" spans="1:11">
      <c r="A324" s="19" t="s">
        <v>1029</v>
      </c>
      <c r="B324" s="19" t="s">
        <v>1054</v>
      </c>
      <c r="C324" s="19" t="s">
        <v>262</v>
      </c>
      <c r="D324" s="19"/>
      <c r="E324" s="32">
        <v>0</v>
      </c>
      <c r="F324" s="32">
        <v>0</v>
      </c>
      <c r="G324" s="32">
        <v>319.37</v>
      </c>
      <c r="H324" s="32">
        <f>(G324/11)*12</f>
        <v>348.40363636363639</v>
      </c>
      <c r="I324" s="32">
        <v>360</v>
      </c>
      <c r="J324" s="95"/>
      <c r="K324"/>
    </row>
    <row r="325" spans="1:11">
      <c r="A325" s="19" t="s">
        <v>1062</v>
      </c>
      <c r="B325" s="19" t="s">
        <v>1054</v>
      </c>
      <c r="C325" s="19" t="s">
        <v>306</v>
      </c>
      <c r="D325" s="19"/>
      <c r="E325" s="32">
        <v>4790</v>
      </c>
      <c r="F325" s="32">
        <v>0</v>
      </c>
      <c r="G325" s="32">
        <v>4935</v>
      </c>
      <c r="H325" s="32">
        <v>4935</v>
      </c>
      <c r="I325" s="32">
        <v>5000</v>
      </c>
      <c r="J325" s="98"/>
      <c r="K325"/>
    </row>
    <row r="326" spans="1:11">
      <c r="A326" s="19" t="s">
        <v>1233</v>
      </c>
      <c r="B326" s="19" t="s">
        <v>1054</v>
      </c>
      <c r="C326" s="19" t="s">
        <v>251</v>
      </c>
      <c r="D326" s="19"/>
      <c r="E326" s="32">
        <v>0</v>
      </c>
      <c r="F326" s="32">
        <v>0</v>
      </c>
      <c r="G326" s="32"/>
      <c r="H326" s="32"/>
      <c r="I326" s="32"/>
      <c r="J326" s="98"/>
      <c r="K326"/>
    </row>
    <row r="327" spans="1:11">
      <c r="A327" s="19" t="s">
        <v>293</v>
      </c>
      <c r="B327" s="19"/>
      <c r="C327" s="19" t="s">
        <v>294</v>
      </c>
      <c r="D327" s="19"/>
      <c r="E327" s="32">
        <v>2000</v>
      </c>
      <c r="F327" s="32">
        <v>0</v>
      </c>
      <c r="G327" s="32">
        <v>350</v>
      </c>
      <c r="H327" s="32">
        <v>350</v>
      </c>
      <c r="I327" s="32">
        <v>2000</v>
      </c>
      <c r="J327" s="95"/>
      <c r="K327"/>
    </row>
    <row r="328" spans="1:11">
      <c r="A328" s="19" t="s">
        <v>295</v>
      </c>
      <c r="B328" s="19" t="s">
        <v>1054</v>
      </c>
      <c r="C328" s="19" t="s">
        <v>209</v>
      </c>
      <c r="D328" s="19"/>
      <c r="E328" s="32">
        <v>1200</v>
      </c>
      <c r="F328" s="32">
        <v>0</v>
      </c>
      <c r="G328" s="32">
        <v>307.39</v>
      </c>
      <c r="H328" s="32">
        <f>(G328/11)*12</f>
        <v>335.33454545454543</v>
      </c>
      <c r="I328" s="32">
        <v>1200</v>
      </c>
      <c r="J328" s="98"/>
      <c r="K328"/>
    </row>
    <row r="329" spans="1:11">
      <c r="A329" s="19" t="s">
        <v>297</v>
      </c>
      <c r="B329" s="19"/>
      <c r="C329" s="19" t="s">
        <v>266</v>
      </c>
      <c r="D329" s="19"/>
      <c r="E329" s="32">
        <v>2800</v>
      </c>
      <c r="F329" s="32">
        <v>0</v>
      </c>
      <c r="G329" s="32">
        <v>2330.39</v>
      </c>
      <c r="H329" s="32">
        <f>(G329/11)*12</f>
        <v>2542.2436363636361</v>
      </c>
      <c r="I329" s="32">
        <v>2550</v>
      </c>
      <c r="J329" s="95"/>
      <c r="K329"/>
    </row>
    <row r="330" spans="1:11">
      <c r="A330" s="19" t="s">
        <v>298</v>
      </c>
      <c r="B330" s="19"/>
      <c r="C330" s="19" t="s">
        <v>299</v>
      </c>
      <c r="D330" s="19"/>
      <c r="E330" s="32">
        <v>1600</v>
      </c>
      <c r="F330" s="32">
        <v>0</v>
      </c>
      <c r="G330" s="32">
        <v>5743.75</v>
      </c>
      <c r="H330" s="32">
        <v>5744</v>
      </c>
      <c r="I330" s="32">
        <v>1600</v>
      </c>
      <c r="J330" s="95" t="s">
        <v>1298</v>
      </c>
      <c r="K330"/>
    </row>
    <row r="331" spans="1:11">
      <c r="A331" s="19" t="s">
        <v>302</v>
      </c>
      <c r="B331" s="19"/>
      <c r="C331" s="19" t="s">
        <v>303</v>
      </c>
      <c r="D331" s="19"/>
      <c r="E331" s="32">
        <v>3200</v>
      </c>
      <c r="F331" s="32">
        <v>0</v>
      </c>
      <c r="G331" s="32">
        <v>8064</v>
      </c>
      <c r="H331" s="32">
        <f>3168+4896</f>
        <v>8064</v>
      </c>
      <c r="I331" s="32">
        <v>5000</v>
      </c>
      <c r="J331" s="95" t="s">
        <v>1299</v>
      </c>
      <c r="K331"/>
    </row>
    <row r="332" spans="1:11">
      <c r="A332" s="19" t="s">
        <v>1127</v>
      </c>
      <c r="B332" s="19" t="s">
        <v>1054</v>
      </c>
      <c r="C332" s="19" t="s">
        <v>309</v>
      </c>
      <c r="D332" s="19"/>
      <c r="E332" s="32">
        <v>3368</v>
      </c>
      <c r="F332" s="32">
        <v>0</v>
      </c>
      <c r="G332" s="32">
        <v>3367.5</v>
      </c>
      <c r="H332" s="32">
        <v>3367.5</v>
      </c>
      <c r="I332" s="32">
        <v>3368</v>
      </c>
      <c r="J332" s="98"/>
      <c r="K332"/>
    </row>
    <row r="333" spans="1:11" s="3" customFormat="1" ht="15.75" thickBot="1">
      <c r="A333" s="41"/>
      <c r="B333" s="41"/>
      <c r="C333" s="41" t="s">
        <v>816</v>
      </c>
      <c r="D333" s="41"/>
      <c r="E333" s="167">
        <f>SUM(E320:E332)</f>
        <v>19178</v>
      </c>
      <c r="F333" s="167">
        <f t="shared" ref="F333:I333" si="59">SUM(F320:F332)</f>
        <v>0</v>
      </c>
      <c r="G333" s="167">
        <f>SUM(G320:G332)</f>
        <v>27948.05</v>
      </c>
      <c r="H333" s="167">
        <f t="shared" si="59"/>
        <v>28366.671818181818</v>
      </c>
      <c r="I333" s="167">
        <f t="shared" si="59"/>
        <v>23053</v>
      </c>
      <c r="J333" s="164"/>
    </row>
    <row r="334" spans="1:11" ht="15.75" thickTop="1">
      <c r="A334" s="19"/>
      <c r="B334" s="19"/>
      <c r="C334" s="19"/>
      <c r="D334" s="19"/>
      <c r="E334" s="20"/>
      <c r="F334" s="20"/>
      <c r="G334" s="20"/>
      <c r="H334" s="20"/>
      <c r="I334" s="20"/>
      <c r="J334" s="168"/>
    </row>
    <row r="335" spans="1:11">
      <c r="A335" s="19"/>
      <c r="B335" s="19"/>
      <c r="C335" s="19" t="s">
        <v>212</v>
      </c>
      <c r="D335" s="19"/>
      <c r="E335" s="20"/>
      <c r="F335" s="20"/>
      <c r="G335" s="20" t="s">
        <v>13</v>
      </c>
      <c r="H335" s="20"/>
      <c r="I335" s="20"/>
      <c r="J335" s="168"/>
    </row>
    <row r="336" spans="1:11">
      <c r="A336" s="19" t="s">
        <v>304</v>
      </c>
      <c r="B336" s="19"/>
      <c r="C336" s="19" t="s">
        <v>271</v>
      </c>
      <c r="D336" s="19"/>
      <c r="E336" s="32">
        <v>700</v>
      </c>
      <c r="F336" s="32">
        <v>0</v>
      </c>
      <c r="G336" s="32">
        <v>414.88</v>
      </c>
      <c r="H336" s="32">
        <f>(G336/11)*12</f>
        <v>452.59636363636366</v>
      </c>
      <c r="I336" s="32">
        <v>750</v>
      </c>
      <c r="J336" s="98"/>
      <c r="K336"/>
    </row>
    <row r="337" spans="1:11">
      <c r="A337" s="19" t="s">
        <v>305</v>
      </c>
      <c r="B337" s="19"/>
      <c r="C337" s="19" t="s">
        <v>273</v>
      </c>
      <c r="D337" s="19"/>
      <c r="E337" s="32">
        <v>13000</v>
      </c>
      <c r="F337" s="32">
        <v>0</v>
      </c>
      <c r="G337" s="32">
        <v>6986.77</v>
      </c>
      <c r="H337" s="32">
        <f>(G337/11)*12</f>
        <v>7621.9309090909101</v>
      </c>
      <c r="I337" s="32">
        <v>10000</v>
      </c>
      <c r="J337" s="98"/>
      <c r="K337"/>
    </row>
    <row r="338" spans="1:11" s="3" customFormat="1" ht="15.75" thickBot="1">
      <c r="A338" s="41"/>
      <c r="B338" s="41"/>
      <c r="C338" s="41" t="s">
        <v>817</v>
      </c>
      <c r="D338" s="41"/>
      <c r="E338" s="167">
        <f>SUM(E336:E337)</f>
        <v>13700</v>
      </c>
      <c r="F338" s="167">
        <f t="shared" ref="F338:I338" si="60">SUM(F336:F337)</f>
        <v>0</v>
      </c>
      <c r="G338" s="167">
        <f t="shared" si="60"/>
        <v>7401.6500000000005</v>
      </c>
      <c r="H338" s="167">
        <f t="shared" si="60"/>
        <v>8074.5272727272741</v>
      </c>
      <c r="I338" s="167">
        <f t="shared" si="60"/>
        <v>10750</v>
      </c>
      <c r="J338" s="173"/>
    </row>
    <row r="339" spans="1:11" ht="15.75" thickTop="1">
      <c r="A339" s="19"/>
      <c r="B339" s="19"/>
      <c r="C339" s="19"/>
      <c r="D339" s="19"/>
      <c r="E339" s="20"/>
      <c r="F339" s="20"/>
      <c r="G339" s="20"/>
      <c r="H339" s="20"/>
      <c r="I339" s="20"/>
      <c r="J339" s="168"/>
    </row>
    <row r="340" spans="1:11">
      <c r="A340" s="19"/>
      <c r="B340" s="19"/>
      <c r="C340" s="19" t="s">
        <v>223</v>
      </c>
      <c r="D340" s="19"/>
      <c r="E340" s="20"/>
      <c r="F340" s="20"/>
      <c r="G340" s="20"/>
      <c r="H340" s="20"/>
      <c r="I340" s="20"/>
      <c r="J340" s="168"/>
    </row>
    <row r="341" spans="1:11">
      <c r="A341" s="19" t="s">
        <v>1197</v>
      </c>
      <c r="B341" s="19" t="s">
        <v>1054</v>
      </c>
      <c r="C341" s="19" t="s">
        <v>1199</v>
      </c>
      <c r="D341" s="19"/>
      <c r="E341" s="32">
        <v>0</v>
      </c>
      <c r="F341" s="32">
        <v>0</v>
      </c>
      <c r="G341" s="32">
        <v>0</v>
      </c>
      <c r="H341" s="32">
        <v>0</v>
      </c>
      <c r="I341" s="32">
        <v>1000</v>
      </c>
      <c r="J341" s="168"/>
    </row>
    <row r="342" spans="1:11">
      <c r="A342" s="19" t="s">
        <v>307</v>
      </c>
      <c r="B342" s="19"/>
      <c r="C342" s="19" t="s">
        <v>308</v>
      </c>
      <c r="D342" s="19"/>
      <c r="E342" s="32">
        <v>5000</v>
      </c>
      <c r="F342" s="32">
        <v>0</v>
      </c>
      <c r="G342" s="32">
        <v>5546.05</v>
      </c>
      <c r="H342" s="32">
        <f>(G342/11)*12</f>
        <v>6050.2363636363634</v>
      </c>
      <c r="I342" s="32">
        <v>5000</v>
      </c>
      <c r="J342" s="98"/>
      <c r="K342"/>
    </row>
    <row r="343" spans="1:11">
      <c r="A343" s="19" t="s">
        <v>1063</v>
      </c>
      <c r="B343" s="19" t="s">
        <v>1054</v>
      </c>
      <c r="C343" s="19" t="s">
        <v>292</v>
      </c>
      <c r="D343" s="19"/>
      <c r="E343" s="32">
        <v>20000</v>
      </c>
      <c r="F343" s="32">
        <v>0</v>
      </c>
      <c r="G343" s="32">
        <v>2416.4</v>
      </c>
      <c r="H343" s="32">
        <f>(G343/11)*12</f>
        <v>2636.0727272727272</v>
      </c>
      <c r="I343" s="32">
        <v>5000</v>
      </c>
      <c r="J343" s="95"/>
      <c r="K343"/>
    </row>
    <row r="344" spans="1:11" s="3" customFormat="1" ht="15.75" thickBot="1">
      <c r="A344" s="41"/>
      <c r="B344" s="41"/>
      <c r="C344" s="41" t="s">
        <v>822</v>
      </c>
      <c r="D344" s="41"/>
      <c r="E344" s="167">
        <f>SUM(E341:E343)</f>
        <v>25000</v>
      </c>
      <c r="F344" s="167">
        <f t="shared" ref="F344:I344" si="61">SUM(F341:F343)</f>
        <v>0</v>
      </c>
      <c r="G344" s="167">
        <f t="shared" si="61"/>
        <v>7962.4500000000007</v>
      </c>
      <c r="H344" s="167">
        <f t="shared" si="61"/>
        <v>8686.3090909090897</v>
      </c>
      <c r="I344" s="167">
        <f t="shared" si="61"/>
        <v>11000</v>
      </c>
      <c r="J344" s="173"/>
    </row>
    <row r="345" spans="1:11" ht="15.75" thickTop="1">
      <c r="A345" s="19"/>
      <c r="B345" s="19"/>
      <c r="C345" s="19"/>
      <c r="D345" s="19"/>
      <c r="E345" s="20"/>
      <c r="F345" s="20"/>
      <c r="G345" s="20"/>
      <c r="I345" s="20"/>
      <c r="J345" s="168"/>
    </row>
    <row r="346" spans="1:11">
      <c r="A346" s="19"/>
      <c r="B346" s="19"/>
      <c r="C346" s="19" t="s">
        <v>1061</v>
      </c>
      <c r="D346" s="19"/>
      <c r="E346" s="20"/>
      <c r="F346" s="20"/>
      <c r="G346" s="20"/>
      <c r="I346" s="20"/>
      <c r="J346" s="168"/>
    </row>
    <row r="347" spans="1:11">
      <c r="A347" s="19" t="s">
        <v>1064</v>
      </c>
      <c r="B347" s="19" t="s">
        <v>1054</v>
      </c>
      <c r="C347" s="19" t="s">
        <v>296</v>
      </c>
      <c r="D347" s="19"/>
      <c r="E347" s="32">
        <v>800</v>
      </c>
      <c r="F347" s="32">
        <v>0</v>
      </c>
      <c r="G347" s="32">
        <v>702.75</v>
      </c>
      <c r="H347" s="32">
        <f>(G347/11)*12</f>
        <v>766.63636363636363</v>
      </c>
      <c r="I347" s="32">
        <v>1000</v>
      </c>
      <c r="J347" s="95"/>
      <c r="K347"/>
    </row>
    <row r="348" spans="1:11">
      <c r="A348" s="19" t="s">
        <v>1065</v>
      </c>
      <c r="B348" s="19" t="s">
        <v>1054</v>
      </c>
      <c r="C348" s="19" t="s">
        <v>301</v>
      </c>
      <c r="D348" s="19"/>
      <c r="E348" s="32">
        <v>2500</v>
      </c>
      <c r="F348" s="32">
        <v>0</v>
      </c>
      <c r="G348" s="32">
        <v>1823.63</v>
      </c>
      <c r="H348" s="32">
        <f t="shared" ref="H348:H351" si="62">(G348/11)*12</f>
        <v>1989.4145454545455</v>
      </c>
      <c r="I348" s="32">
        <v>2500</v>
      </c>
      <c r="J348" s="95"/>
      <c r="K348"/>
    </row>
    <row r="349" spans="1:11">
      <c r="A349" s="19" t="s">
        <v>1066</v>
      </c>
      <c r="B349" s="19" t="s">
        <v>1054</v>
      </c>
      <c r="C349" s="19" t="s">
        <v>300</v>
      </c>
      <c r="D349" s="19"/>
      <c r="E349" s="32">
        <v>6000</v>
      </c>
      <c r="F349" s="32">
        <v>0</v>
      </c>
      <c r="G349" s="32">
        <v>1374.11</v>
      </c>
      <c r="H349" s="32">
        <f t="shared" si="62"/>
        <v>1499.0290909090909</v>
      </c>
      <c r="I349" s="32">
        <v>6000</v>
      </c>
      <c r="J349" s="95"/>
      <c r="K349"/>
    </row>
    <row r="350" spans="1:11">
      <c r="A350" s="19" t="s">
        <v>1067</v>
      </c>
      <c r="B350" s="19" t="s">
        <v>1054</v>
      </c>
      <c r="C350" s="19" t="s">
        <v>907</v>
      </c>
      <c r="D350" s="19"/>
      <c r="E350" s="32">
        <v>10000</v>
      </c>
      <c r="F350" s="32">
        <v>0</v>
      </c>
      <c r="G350" s="32">
        <v>10903.11</v>
      </c>
      <c r="H350" s="32">
        <f t="shared" si="62"/>
        <v>11894.301818181819</v>
      </c>
      <c r="I350" s="32">
        <v>10000</v>
      </c>
      <c r="J350" s="95" t="s">
        <v>1297</v>
      </c>
      <c r="K350"/>
    </row>
    <row r="351" spans="1:11">
      <c r="A351" s="19" t="s">
        <v>1068</v>
      </c>
      <c r="B351" s="19" t="s">
        <v>1054</v>
      </c>
      <c r="C351" s="19" t="s">
        <v>284</v>
      </c>
      <c r="D351" s="19"/>
      <c r="E351" s="32">
        <v>1000</v>
      </c>
      <c r="F351" s="32">
        <v>0</v>
      </c>
      <c r="G351" s="32">
        <v>311.54000000000002</v>
      </c>
      <c r="H351" s="32">
        <f t="shared" si="62"/>
        <v>339.86181818181819</v>
      </c>
      <c r="I351" s="32">
        <v>300</v>
      </c>
      <c r="J351" s="95"/>
      <c r="K351"/>
    </row>
    <row r="352" spans="1:11" s="3" customFormat="1" ht="15.75" thickBot="1">
      <c r="A352" s="41"/>
      <c r="B352" s="41"/>
      <c r="C352" s="41" t="s">
        <v>1060</v>
      </c>
      <c r="D352" s="41"/>
      <c r="E352" s="167">
        <f>SUM(E347:E351)</f>
        <v>20300</v>
      </c>
      <c r="F352" s="167">
        <f t="shared" ref="F352:I352" si="63">SUM(F347:F351)</f>
        <v>0</v>
      </c>
      <c r="G352" s="167">
        <f t="shared" si="63"/>
        <v>15115.140000000001</v>
      </c>
      <c r="H352" s="167">
        <f t="shared" si="63"/>
        <v>16489.243636363637</v>
      </c>
      <c r="I352" s="167">
        <f t="shared" si="63"/>
        <v>19800</v>
      </c>
      <c r="J352" s="164"/>
    </row>
    <row r="353" spans="1:11" ht="15.75" thickTop="1">
      <c r="A353" s="19"/>
      <c r="B353" s="19"/>
      <c r="C353" s="19"/>
      <c r="D353" s="19"/>
      <c r="E353" s="20"/>
      <c r="F353" s="20"/>
      <c r="G353" s="20"/>
      <c r="I353" s="20"/>
      <c r="J353" s="168"/>
    </row>
    <row r="354" spans="1:11">
      <c r="A354" s="19"/>
      <c r="B354" s="19"/>
      <c r="C354" s="19" t="s">
        <v>281</v>
      </c>
      <c r="D354" s="19"/>
      <c r="E354" s="20"/>
      <c r="F354" s="20"/>
      <c r="G354" s="20"/>
      <c r="I354" s="20"/>
      <c r="J354" s="168"/>
    </row>
    <row r="355" spans="1:11">
      <c r="A355" s="19" t="s">
        <v>445</v>
      </c>
      <c r="B355" s="19"/>
      <c r="C355" s="19" t="s">
        <v>310</v>
      </c>
      <c r="D355" s="19"/>
      <c r="E355" s="32">
        <v>0</v>
      </c>
      <c r="F355" s="32">
        <v>0</v>
      </c>
      <c r="G355" s="32">
        <v>0</v>
      </c>
      <c r="H355" s="37">
        <v>0</v>
      </c>
      <c r="I355" s="32">
        <v>2000</v>
      </c>
      <c r="J355" s="95" t="s">
        <v>1036</v>
      </c>
      <c r="K355" s="32"/>
    </row>
    <row r="356" spans="1:11" s="3" customFormat="1" ht="15.75" thickBot="1">
      <c r="A356" s="41"/>
      <c r="B356" s="41"/>
      <c r="C356" s="41" t="s">
        <v>823</v>
      </c>
      <c r="D356" s="41"/>
      <c r="E356" s="167">
        <f>SUM(E355)</f>
        <v>0</v>
      </c>
      <c r="F356" s="167">
        <f t="shared" ref="F356:I356" si="64">SUM(F355)</f>
        <v>0</v>
      </c>
      <c r="G356" s="167">
        <f t="shared" si="64"/>
        <v>0</v>
      </c>
      <c r="H356" s="167">
        <f t="shared" si="64"/>
        <v>0</v>
      </c>
      <c r="I356" s="167">
        <f t="shared" si="64"/>
        <v>2000</v>
      </c>
      <c r="J356" s="164"/>
    </row>
    <row r="357" spans="1:11" ht="15.75" thickTop="1">
      <c r="A357" s="19"/>
      <c r="B357" s="19"/>
      <c r="C357" s="19"/>
      <c r="D357" s="19"/>
      <c r="E357" s="20"/>
      <c r="F357" s="20"/>
      <c r="G357" s="20"/>
      <c r="I357" s="20"/>
      <c r="J357" s="168"/>
    </row>
    <row r="358" spans="1:11">
      <c r="A358" s="19"/>
      <c r="B358" s="19"/>
      <c r="C358" s="19" t="s">
        <v>37</v>
      </c>
      <c r="D358" s="19"/>
      <c r="E358" s="20"/>
      <c r="F358" s="20"/>
      <c r="G358" s="20"/>
      <c r="I358" s="20"/>
      <c r="J358" s="95"/>
      <c r="K358"/>
    </row>
    <row r="359" spans="1:11">
      <c r="A359" s="19" t="s">
        <v>741</v>
      </c>
      <c r="B359" s="19"/>
      <c r="C359" s="19" t="s">
        <v>742</v>
      </c>
      <c r="D359" s="19"/>
      <c r="E359" s="32">
        <v>6540</v>
      </c>
      <c r="F359" s="32">
        <v>0</v>
      </c>
      <c r="G359" s="32">
        <v>5652</v>
      </c>
      <c r="H359" s="37">
        <v>5652</v>
      </c>
      <c r="I359" s="32">
        <v>7665.67</v>
      </c>
      <c r="J359" s="94" t="s">
        <v>1037</v>
      </c>
      <c r="K359"/>
    </row>
    <row r="360" spans="1:11" s="3" customFormat="1" ht="15.75" thickBot="1">
      <c r="A360" s="41"/>
      <c r="B360" s="41"/>
      <c r="C360" s="41" t="s">
        <v>827</v>
      </c>
      <c r="D360" s="41"/>
      <c r="E360" s="167">
        <f>SUM(E359)</f>
        <v>6540</v>
      </c>
      <c r="F360" s="167">
        <f t="shared" ref="F360:I360" si="65">SUM(F359)</f>
        <v>0</v>
      </c>
      <c r="G360" s="167">
        <f t="shared" si="65"/>
        <v>5652</v>
      </c>
      <c r="H360" s="167">
        <f t="shared" si="65"/>
        <v>5652</v>
      </c>
      <c r="I360" s="167">
        <f t="shared" si="65"/>
        <v>7665.67</v>
      </c>
      <c r="J360" s="164"/>
    </row>
    <row r="361" spans="1:11" ht="15.75" thickTop="1">
      <c r="A361" s="19"/>
      <c r="B361" s="19"/>
      <c r="C361" s="19"/>
      <c r="D361" s="19"/>
      <c r="E361" s="20"/>
      <c r="F361" s="20"/>
      <c r="G361" s="20"/>
      <c r="I361" s="20"/>
      <c r="J361" s="95"/>
      <c r="K361"/>
    </row>
    <row r="362" spans="1:11" ht="15.75" thickBot="1">
      <c r="A362" s="19"/>
      <c r="B362" s="19"/>
      <c r="C362" s="41" t="s">
        <v>897</v>
      </c>
      <c r="D362" s="19"/>
      <c r="E362" s="171">
        <f>E313+E317+E333+E338+E344+E352+E356+E360</f>
        <v>480833</v>
      </c>
      <c r="F362" s="171">
        <f t="shared" ref="F362:I362" si="66">F313+F317+F333+F338+F344+F352+F356+F360</f>
        <v>0</v>
      </c>
      <c r="G362" s="171">
        <f t="shared" si="66"/>
        <v>389136.01</v>
      </c>
      <c r="H362" s="171">
        <f t="shared" si="66"/>
        <v>439137.17700878787</v>
      </c>
      <c r="I362" s="171">
        <f t="shared" si="66"/>
        <v>534271.67000000004</v>
      </c>
      <c r="J362" s="95"/>
      <c r="K362"/>
    </row>
    <row r="363" spans="1:11" ht="15.75" thickTop="1">
      <c r="A363" s="19"/>
      <c r="B363" s="19"/>
      <c r="C363" s="41"/>
      <c r="D363" s="19"/>
      <c r="E363" s="174"/>
      <c r="F363" s="174"/>
      <c r="G363" s="174"/>
      <c r="H363" s="174"/>
      <c r="I363" s="174"/>
      <c r="J363" s="170"/>
    </row>
    <row r="364" spans="1:11">
      <c r="A364" s="19"/>
      <c r="B364" s="19"/>
      <c r="C364" s="19"/>
      <c r="D364" s="19"/>
      <c r="E364" s="20"/>
      <c r="F364" s="20"/>
      <c r="G364" s="20"/>
      <c r="I364" s="20"/>
      <c r="J364" s="168"/>
    </row>
    <row r="365" spans="1:11">
      <c r="A365" s="201" t="s">
        <v>895</v>
      </c>
      <c r="B365" s="201"/>
      <c r="C365" s="201"/>
      <c r="D365" s="201"/>
      <c r="E365" s="201"/>
      <c r="F365" s="201"/>
      <c r="G365" s="201"/>
      <c r="H365" s="201"/>
      <c r="I365" s="201"/>
      <c r="J365" s="201"/>
      <c r="K365"/>
    </row>
    <row r="366" spans="1:11">
      <c r="A366" s="19" t="s">
        <v>13</v>
      </c>
      <c r="B366" s="19"/>
      <c r="C366" s="19" t="s">
        <v>204</v>
      </c>
      <c r="D366" s="19"/>
      <c r="E366" s="93" t="s">
        <v>13</v>
      </c>
      <c r="F366" s="93" t="s">
        <v>13</v>
      </c>
      <c r="G366" s="32" t="s">
        <v>13</v>
      </c>
      <c r="H366" s="37" t="s">
        <v>276</v>
      </c>
      <c r="I366" s="32" t="s">
        <v>13</v>
      </c>
      <c r="J366" s="168"/>
    </row>
    <row r="367" spans="1:11">
      <c r="A367" s="19" t="s">
        <v>311</v>
      </c>
      <c r="B367" s="19"/>
      <c r="C367" s="19" t="s">
        <v>867</v>
      </c>
      <c r="D367" s="19"/>
      <c r="E367" s="93">
        <v>190000</v>
      </c>
      <c r="F367" s="93">
        <v>0</v>
      </c>
      <c r="G367" s="32">
        <v>208148.46</v>
      </c>
      <c r="H367" s="32">
        <f>(G367/24)*26</f>
        <v>225494.16499999998</v>
      </c>
      <c r="I367" s="32">
        <v>218000</v>
      </c>
      <c r="J367" s="95"/>
      <c r="K367"/>
    </row>
    <row r="368" spans="1:11">
      <c r="A368" s="19" t="s">
        <v>312</v>
      </c>
      <c r="B368" s="19"/>
      <c r="C368" s="19" t="s">
        <v>868</v>
      </c>
      <c r="D368" s="19"/>
      <c r="E368" s="93">
        <v>35000</v>
      </c>
      <c r="F368" s="93">
        <v>0</v>
      </c>
      <c r="G368" s="32">
        <v>54886.73</v>
      </c>
      <c r="H368" s="32">
        <f>(G368/24)*26</f>
        <v>59460.624166666668</v>
      </c>
      <c r="I368" s="32">
        <v>40000</v>
      </c>
      <c r="J368" s="95"/>
      <c r="K368"/>
    </row>
    <row r="369" spans="1:11" ht="15.75" thickBot="1">
      <c r="A369" s="19" t="s">
        <v>13</v>
      </c>
      <c r="B369" s="19"/>
      <c r="C369" s="19" t="s">
        <v>820</v>
      </c>
      <c r="D369" s="19"/>
      <c r="E369" s="176">
        <f>SUM(E367:E368)</f>
        <v>225000</v>
      </c>
      <c r="F369" s="176">
        <f t="shared" ref="F369:I369" si="67">SUM(F367:F368)</f>
        <v>0</v>
      </c>
      <c r="G369" s="176">
        <f t="shared" si="67"/>
        <v>263035.19</v>
      </c>
      <c r="H369" s="176">
        <f t="shared" si="67"/>
        <v>284954.78916666663</v>
      </c>
      <c r="I369" s="176">
        <f t="shared" si="67"/>
        <v>258000</v>
      </c>
      <c r="J369" s="95"/>
      <c r="K369"/>
    </row>
    <row r="370" spans="1:11" ht="15.75" thickTop="1">
      <c r="A370" s="19"/>
      <c r="B370" s="19"/>
      <c r="C370" s="19"/>
      <c r="D370" s="19"/>
      <c r="E370" s="93"/>
      <c r="F370" s="93"/>
      <c r="G370" s="32"/>
      <c r="H370" s="37"/>
      <c r="I370" s="32"/>
      <c r="J370" s="168"/>
    </row>
    <row r="371" spans="1:11">
      <c r="A371" s="19" t="s">
        <v>13</v>
      </c>
      <c r="B371" s="19"/>
      <c r="C371" s="19" t="s">
        <v>205</v>
      </c>
      <c r="D371" s="19"/>
      <c r="E371" s="93" t="s">
        <v>13</v>
      </c>
      <c r="F371" s="93" t="s">
        <v>13</v>
      </c>
      <c r="G371" s="32" t="s">
        <v>13</v>
      </c>
      <c r="H371" s="37" t="s">
        <v>13</v>
      </c>
      <c r="I371" s="32" t="s">
        <v>13</v>
      </c>
      <c r="J371" s="168"/>
    </row>
    <row r="372" spans="1:11">
      <c r="A372" s="19" t="s">
        <v>1251</v>
      </c>
      <c r="B372" s="19" t="s">
        <v>1054</v>
      </c>
      <c r="C372" s="19" t="s">
        <v>227</v>
      </c>
      <c r="D372" s="19"/>
      <c r="E372" s="93">
        <v>0</v>
      </c>
      <c r="F372" s="93">
        <v>0</v>
      </c>
      <c r="G372" s="32">
        <v>0</v>
      </c>
      <c r="H372" s="37">
        <v>0</v>
      </c>
      <c r="I372" s="32">
        <v>0</v>
      </c>
      <c r="J372" s="168"/>
    </row>
    <row r="373" spans="1:11">
      <c r="A373" s="19" t="s">
        <v>313</v>
      </c>
      <c r="B373" s="19"/>
      <c r="C373" s="19" t="s">
        <v>286</v>
      </c>
      <c r="D373" s="19"/>
      <c r="E373" s="93">
        <v>3263</v>
      </c>
      <c r="F373" s="93">
        <v>0</v>
      </c>
      <c r="G373" s="32">
        <v>4319.84</v>
      </c>
      <c r="H373" s="37">
        <f>H369*0.0145</f>
        <v>4131.8444429166666</v>
      </c>
      <c r="I373" s="37">
        <f>I369*0.0145</f>
        <v>3741</v>
      </c>
      <c r="J373" s="95"/>
      <c r="K373"/>
    </row>
    <row r="374" spans="1:11">
      <c r="A374" s="19" t="s">
        <v>314</v>
      </c>
      <c r="B374" s="19"/>
      <c r="C374" s="19" t="s">
        <v>288</v>
      </c>
      <c r="D374" s="19"/>
      <c r="E374" s="93">
        <v>18000</v>
      </c>
      <c r="F374" s="93">
        <v>0</v>
      </c>
      <c r="G374" s="32">
        <v>21169.57</v>
      </c>
      <c r="H374" s="32">
        <f>(G374/11)*12</f>
        <v>23094.076363636363</v>
      </c>
      <c r="I374" s="37">
        <f>I369*0.08</f>
        <v>20640</v>
      </c>
      <c r="J374" s="95"/>
      <c r="K374"/>
    </row>
    <row r="375" spans="1:11">
      <c r="A375" s="19" t="s">
        <v>1252</v>
      </c>
      <c r="B375" s="19" t="s">
        <v>1054</v>
      </c>
      <c r="C375" s="19" t="s">
        <v>231</v>
      </c>
      <c r="D375" s="19"/>
      <c r="E375" s="93">
        <v>0</v>
      </c>
      <c r="F375" s="93">
        <v>0</v>
      </c>
      <c r="G375" s="93">
        <v>0</v>
      </c>
      <c r="H375" s="93">
        <v>0</v>
      </c>
      <c r="I375" s="93">
        <v>0</v>
      </c>
      <c r="J375" s="95"/>
      <c r="K375"/>
    </row>
    <row r="376" spans="1:11">
      <c r="A376" s="19" t="s">
        <v>1222</v>
      </c>
      <c r="B376" s="19" t="s">
        <v>1054</v>
      </c>
      <c r="C376" s="19" t="s">
        <v>1219</v>
      </c>
      <c r="D376" s="19"/>
      <c r="E376" s="93">
        <v>0</v>
      </c>
      <c r="F376" s="93">
        <v>0</v>
      </c>
      <c r="G376" s="93">
        <v>0</v>
      </c>
      <c r="H376" s="93">
        <v>0</v>
      </c>
      <c r="I376" s="93">
        <v>0</v>
      </c>
      <c r="J376" s="95"/>
      <c r="K376"/>
    </row>
    <row r="377" spans="1:11">
      <c r="A377" s="19" t="s">
        <v>1253</v>
      </c>
      <c r="B377" s="19" t="s">
        <v>1054</v>
      </c>
      <c r="C377" s="19" t="s">
        <v>234</v>
      </c>
      <c r="D377" s="19"/>
      <c r="E377" s="93">
        <v>0</v>
      </c>
      <c r="F377" s="93">
        <v>0</v>
      </c>
      <c r="G377" s="93">
        <v>0</v>
      </c>
      <c r="H377" s="93">
        <v>0</v>
      </c>
      <c r="I377" s="93">
        <v>0</v>
      </c>
      <c r="J377" s="95"/>
      <c r="K377"/>
    </row>
    <row r="378" spans="1:11" ht="15.75" thickBot="1">
      <c r="A378" s="19" t="s">
        <v>13</v>
      </c>
      <c r="B378" s="19"/>
      <c r="C378" s="19" t="s">
        <v>821</v>
      </c>
      <c r="D378" s="19"/>
      <c r="E378" s="176">
        <f>SUM(E372:E377)</f>
        <v>21263</v>
      </c>
      <c r="F378" s="176">
        <f t="shared" ref="F378:I378" si="68">SUM(F372:F377)</f>
        <v>0</v>
      </c>
      <c r="G378" s="176">
        <f t="shared" si="68"/>
        <v>25489.41</v>
      </c>
      <c r="H378" s="176">
        <f t="shared" si="68"/>
        <v>27225.920806553029</v>
      </c>
      <c r="I378" s="176">
        <f t="shared" si="68"/>
        <v>24381</v>
      </c>
      <c r="J378" s="95"/>
      <c r="K378"/>
    </row>
    <row r="379" spans="1:11" ht="15.75" thickTop="1">
      <c r="A379" s="19"/>
      <c r="B379" s="19"/>
      <c r="C379" s="19"/>
      <c r="D379" s="19"/>
      <c r="E379" s="93"/>
      <c r="F379" s="93"/>
      <c r="G379" s="32"/>
      <c r="H379" s="37"/>
      <c r="I379" s="32"/>
      <c r="J379" s="95"/>
      <c r="K379"/>
    </row>
    <row r="380" spans="1:11" s="3" customFormat="1" ht="15.75" thickBot="1">
      <c r="A380" s="41"/>
      <c r="B380" s="41"/>
      <c r="C380" s="41" t="s">
        <v>814</v>
      </c>
      <c r="D380" s="41"/>
      <c r="E380" s="177">
        <f>E369+E378</f>
        <v>246263</v>
      </c>
      <c r="F380" s="177">
        <f t="shared" ref="F380:I380" si="69">F369+F378</f>
        <v>0</v>
      </c>
      <c r="G380" s="177">
        <f t="shared" si="69"/>
        <v>288524.59999999998</v>
      </c>
      <c r="H380" s="177">
        <f t="shared" si="69"/>
        <v>312180.70997321967</v>
      </c>
      <c r="I380" s="177">
        <f t="shared" si="69"/>
        <v>282381</v>
      </c>
      <c r="J380" s="178"/>
    </row>
    <row r="381" spans="1:11" ht="15.75" thickTop="1">
      <c r="A381" s="19"/>
      <c r="B381" s="19"/>
      <c r="C381" s="19"/>
      <c r="D381" s="19"/>
      <c r="E381" s="93"/>
      <c r="F381" s="93"/>
      <c r="G381" s="32"/>
      <c r="H381" s="32"/>
      <c r="I381" s="32"/>
      <c r="J381" s="168"/>
      <c r="K381" s="19"/>
    </row>
    <row r="382" spans="1:11">
      <c r="A382" s="19" t="s">
        <v>13</v>
      </c>
      <c r="B382" s="19"/>
      <c r="C382" s="19" t="s">
        <v>207</v>
      </c>
      <c r="D382" s="19"/>
      <c r="E382" s="93" t="s">
        <v>13</v>
      </c>
      <c r="F382" s="93" t="s">
        <v>13</v>
      </c>
      <c r="G382" s="32" t="s">
        <v>13</v>
      </c>
      <c r="H382" s="32" t="s">
        <v>276</v>
      </c>
      <c r="I382" s="32" t="s">
        <v>13</v>
      </c>
      <c r="J382" s="168"/>
      <c r="K382" s="19"/>
    </row>
    <row r="383" spans="1:11">
      <c r="A383" s="19" t="s">
        <v>315</v>
      </c>
      <c r="B383" s="19" t="s">
        <v>1054</v>
      </c>
      <c r="C383" s="19" t="s">
        <v>316</v>
      </c>
      <c r="D383" s="19"/>
      <c r="E383" s="93">
        <v>5000</v>
      </c>
      <c r="F383" s="93">
        <v>0</v>
      </c>
      <c r="G383" s="32">
        <v>3372.26</v>
      </c>
      <c r="H383" s="32">
        <f>(G383/11)*12</f>
        <v>3678.8290909090911</v>
      </c>
      <c r="I383" s="32">
        <v>4000</v>
      </c>
      <c r="J383" s="96"/>
      <c r="K383"/>
    </row>
    <row r="384" spans="1:11" s="3" customFormat="1" ht="15.75" thickBot="1">
      <c r="A384" s="41" t="s">
        <v>13</v>
      </c>
      <c r="B384" s="41"/>
      <c r="C384" s="41" t="s">
        <v>815</v>
      </c>
      <c r="D384" s="41"/>
      <c r="E384" s="167">
        <f>SUM(E383)</f>
        <v>5000</v>
      </c>
      <c r="F384" s="167">
        <f t="shared" ref="F384:I384" si="70">SUM(F383)</f>
        <v>0</v>
      </c>
      <c r="G384" s="167">
        <f t="shared" si="70"/>
        <v>3372.26</v>
      </c>
      <c r="H384" s="167">
        <f t="shared" si="70"/>
        <v>3678.8290909090911</v>
      </c>
      <c r="I384" s="167">
        <f t="shared" si="70"/>
        <v>4000</v>
      </c>
      <c r="J384" s="178"/>
    </row>
    <row r="385" spans="1:11" ht="15.75" thickTop="1">
      <c r="A385" s="19"/>
      <c r="B385" s="19"/>
      <c r="C385" s="19"/>
      <c r="D385" s="19"/>
      <c r="E385" s="32"/>
      <c r="F385" s="32"/>
      <c r="G385" s="32"/>
      <c r="H385" s="32"/>
      <c r="I385" s="32"/>
      <c r="J385" s="168"/>
      <c r="K385" s="19"/>
    </row>
    <row r="386" spans="1:11">
      <c r="A386" s="19" t="s">
        <v>13</v>
      </c>
      <c r="B386" s="19"/>
      <c r="C386" s="19" t="s">
        <v>210</v>
      </c>
      <c r="D386" s="19"/>
      <c r="E386" s="93" t="s">
        <v>13</v>
      </c>
      <c r="F386" s="93" t="s">
        <v>13</v>
      </c>
      <c r="G386" s="93" t="s">
        <v>13</v>
      </c>
      <c r="H386" s="93" t="s">
        <v>13</v>
      </c>
      <c r="I386" s="93" t="s">
        <v>13</v>
      </c>
      <c r="J386" s="179"/>
      <c r="K386" s="180"/>
    </row>
    <row r="387" spans="1:11">
      <c r="A387" s="19" t="s">
        <v>317</v>
      </c>
      <c r="B387" s="19"/>
      <c r="C387" s="19" t="s">
        <v>243</v>
      </c>
      <c r="D387" s="19"/>
      <c r="E387" s="93">
        <v>200</v>
      </c>
      <c r="F387" s="93">
        <v>0</v>
      </c>
      <c r="G387" s="93">
        <v>380</v>
      </c>
      <c r="H387" s="32">
        <f>(G387/11)*12</f>
        <v>414.54545454545456</v>
      </c>
      <c r="I387" s="93">
        <v>570</v>
      </c>
      <c r="J387" s="96"/>
      <c r="K387"/>
    </row>
    <row r="388" spans="1:11">
      <c r="A388" s="19" t="s">
        <v>1234</v>
      </c>
      <c r="B388" s="19" t="s">
        <v>1054</v>
      </c>
      <c r="C388" s="19" t="s">
        <v>247</v>
      </c>
      <c r="D388" s="19"/>
      <c r="E388" s="93">
        <v>0</v>
      </c>
      <c r="F388" s="93">
        <v>0</v>
      </c>
      <c r="G388" s="93">
        <v>0</v>
      </c>
      <c r="H388" s="32">
        <v>0</v>
      </c>
      <c r="I388" s="93">
        <v>0</v>
      </c>
      <c r="J388" s="96"/>
      <c r="K388"/>
    </row>
    <row r="389" spans="1:11">
      <c r="A389" s="19" t="s">
        <v>1014</v>
      </c>
      <c r="B389" s="19"/>
      <c r="C389" s="19" t="s">
        <v>960</v>
      </c>
      <c r="D389" s="19"/>
      <c r="E389" s="93">
        <v>0</v>
      </c>
      <c r="F389" s="93">
        <v>0</v>
      </c>
      <c r="G389" s="93">
        <v>885.71</v>
      </c>
      <c r="H389" s="32">
        <v>885.71</v>
      </c>
      <c r="I389" s="93">
        <v>0</v>
      </c>
      <c r="J389" s="96"/>
      <c r="K389"/>
    </row>
    <row r="390" spans="1:11">
      <c r="A390" s="19" t="s">
        <v>1024</v>
      </c>
      <c r="B390" s="19" t="s">
        <v>1054</v>
      </c>
      <c r="C390" s="175" t="s">
        <v>1254</v>
      </c>
      <c r="D390" s="19"/>
      <c r="E390" s="93">
        <v>0</v>
      </c>
      <c r="F390" s="93">
        <v>0</v>
      </c>
      <c r="G390" s="93">
        <v>8805.32</v>
      </c>
      <c r="H390" s="32">
        <f>(G390/11)*12</f>
        <v>9605.8036363636365</v>
      </c>
      <c r="I390" s="93">
        <v>9895</v>
      </c>
      <c r="J390" s="96"/>
      <c r="K390"/>
    </row>
    <row r="391" spans="1:11">
      <c r="A391" s="19" t="s">
        <v>1027</v>
      </c>
      <c r="B391" s="19" t="s">
        <v>1054</v>
      </c>
      <c r="C391" s="175" t="s">
        <v>1255</v>
      </c>
      <c r="D391" s="19"/>
      <c r="E391" s="93">
        <v>0</v>
      </c>
      <c r="F391" s="93">
        <v>0</v>
      </c>
      <c r="G391" s="93">
        <v>1438.83</v>
      </c>
      <c r="H391" s="32">
        <f>(G391/11)*12</f>
        <v>1569.6327272727272</v>
      </c>
      <c r="I391" s="93">
        <v>1620</v>
      </c>
      <c r="J391" s="96"/>
      <c r="K391"/>
    </row>
    <row r="392" spans="1:11">
      <c r="A392" s="19" t="s">
        <v>1069</v>
      </c>
      <c r="B392" s="19"/>
      <c r="C392" s="19" t="s">
        <v>306</v>
      </c>
      <c r="D392" s="19"/>
      <c r="E392" s="93">
        <v>3000</v>
      </c>
      <c r="F392" s="93">
        <v>0</v>
      </c>
      <c r="G392" s="93">
        <v>2676</v>
      </c>
      <c r="H392" s="32">
        <v>2676</v>
      </c>
      <c r="I392" s="93">
        <v>3000</v>
      </c>
      <c r="J392" s="96"/>
      <c r="K392"/>
    </row>
    <row r="393" spans="1:11">
      <c r="A393" s="19" t="s">
        <v>1235</v>
      </c>
      <c r="B393" s="19" t="s">
        <v>1054</v>
      </c>
      <c r="C393" s="19" t="s">
        <v>251</v>
      </c>
      <c r="D393" s="19"/>
      <c r="E393" s="93">
        <v>0</v>
      </c>
      <c r="F393" s="93">
        <v>0</v>
      </c>
      <c r="G393" s="93">
        <v>0</v>
      </c>
      <c r="H393" s="32">
        <v>0</v>
      </c>
      <c r="I393" s="93">
        <v>0</v>
      </c>
      <c r="J393" s="96"/>
      <c r="K393"/>
    </row>
    <row r="394" spans="1:11">
      <c r="A394" s="19" t="s">
        <v>1013</v>
      </c>
      <c r="B394" s="19"/>
      <c r="C394" s="19" t="s">
        <v>250</v>
      </c>
      <c r="D394" s="19"/>
      <c r="E394" s="93">
        <v>0</v>
      </c>
      <c r="F394" s="93">
        <v>0</v>
      </c>
      <c r="G394" s="93">
        <v>420.96</v>
      </c>
      <c r="H394" s="32">
        <f>(G394/11)*12</f>
        <v>459.22909090909087</v>
      </c>
      <c r="I394" s="93">
        <v>660</v>
      </c>
      <c r="J394" s="96"/>
      <c r="K394"/>
    </row>
    <row r="395" spans="1:11">
      <c r="A395" s="19" t="s">
        <v>1070</v>
      </c>
      <c r="B395" s="19" t="s">
        <v>1054</v>
      </c>
      <c r="C395" s="19" t="s">
        <v>209</v>
      </c>
      <c r="D395" s="19"/>
      <c r="E395" s="93">
        <v>1500</v>
      </c>
      <c r="F395" s="93">
        <v>0</v>
      </c>
      <c r="G395" s="32">
        <v>1546.77</v>
      </c>
      <c r="H395" s="32">
        <f>(G395/11)*12</f>
        <v>1687.3854545454546</v>
      </c>
      <c r="I395" s="32">
        <v>1000</v>
      </c>
      <c r="J395" s="96"/>
      <c r="K395"/>
    </row>
    <row r="396" spans="1:11">
      <c r="A396" s="19" t="s">
        <v>319</v>
      </c>
      <c r="B396" s="19"/>
      <c r="C396" s="19" t="s">
        <v>266</v>
      </c>
      <c r="D396" s="19"/>
      <c r="E396" s="93">
        <v>2290</v>
      </c>
      <c r="F396" s="93">
        <v>0</v>
      </c>
      <c r="G396" s="93">
        <v>1923.52</v>
      </c>
      <c r="H396" s="32">
        <f>(G396/11)*12</f>
        <v>2098.3854545454546</v>
      </c>
      <c r="I396" s="93">
        <v>2100</v>
      </c>
      <c r="J396" s="96"/>
      <c r="K396"/>
    </row>
    <row r="397" spans="1:11">
      <c r="A397" s="19" t="s">
        <v>320</v>
      </c>
      <c r="B397" s="19"/>
      <c r="C397" s="19" t="s">
        <v>299</v>
      </c>
      <c r="D397" s="19"/>
      <c r="E397" s="93">
        <v>5000</v>
      </c>
      <c r="F397" s="93">
        <v>0</v>
      </c>
      <c r="G397" s="93">
        <v>6525.17</v>
      </c>
      <c r="H397" s="32">
        <v>6525.17</v>
      </c>
      <c r="I397" s="93">
        <v>5000</v>
      </c>
      <c r="J397" s="96" t="s">
        <v>1039</v>
      </c>
      <c r="K397"/>
    </row>
    <row r="398" spans="1:11" s="3" customFormat="1" ht="15.75" thickBot="1">
      <c r="A398" s="41" t="s">
        <v>13</v>
      </c>
      <c r="B398" s="41"/>
      <c r="C398" s="41" t="s">
        <v>816</v>
      </c>
      <c r="D398" s="41"/>
      <c r="E398" s="177">
        <f>SUM(E387:E397)</f>
        <v>11990</v>
      </c>
      <c r="F398" s="177">
        <f t="shared" ref="F398:I398" si="71">SUM(F387:F397)</f>
        <v>0</v>
      </c>
      <c r="G398" s="177">
        <f t="shared" si="71"/>
        <v>24602.28</v>
      </c>
      <c r="H398" s="177">
        <f t="shared" si="71"/>
        <v>25921.861818181824</v>
      </c>
      <c r="I398" s="177">
        <f t="shared" si="71"/>
        <v>23845</v>
      </c>
      <c r="J398" s="178"/>
    </row>
    <row r="399" spans="1:11" ht="15.75" thickTop="1">
      <c r="A399" s="19"/>
      <c r="B399" s="19"/>
      <c r="C399" s="19"/>
      <c r="D399" s="19"/>
      <c r="E399" s="93"/>
      <c r="F399" s="93"/>
      <c r="G399" s="93"/>
      <c r="H399" s="93"/>
      <c r="I399" s="93"/>
      <c r="J399" s="179"/>
      <c r="K399" s="19"/>
    </row>
    <row r="400" spans="1:11">
      <c r="A400" s="19" t="s">
        <v>13</v>
      </c>
      <c r="B400" s="19"/>
      <c r="C400" s="19" t="s">
        <v>212</v>
      </c>
      <c r="D400" s="19"/>
      <c r="E400" s="93" t="s">
        <v>13</v>
      </c>
      <c r="F400" s="93" t="s">
        <v>13</v>
      </c>
      <c r="G400" s="93" t="s">
        <v>13</v>
      </c>
      <c r="H400" s="93" t="s">
        <v>13</v>
      </c>
      <c r="I400" s="93" t="s">
        <v>13</v>
      </c>
      <c r="J400" s="179"/>
      <c r="K400" s="19"/>
    </row>
    <row r="401" spans="1:11">
      <c r="A401" s="19" t="s">
        <v>321</v>
      </c>
      <c r="B401" s="19"/>
      <c r="C401" s="19" t="s">
        <v>271</v>
      </c>
      <c r="D401" s="19"/>
      <c r="E401" s="93">
        <v>1000</v>
      </c>
      <c r="F401" s="93">
        <v>0</v>
      </c>
      <c r="G401" s="93">
        <v>835.75</v>
      </c>
      <c r="H401" s="32">
        <f>(G401/11)*12</f>
        <v>911.72727272727275</v>
      </c>
      <c r="I401" s="93">
        <v>750</v>
      </c>
      <c r="J401" s="96"/>
      <c r="K401"/>
    </row>
    <row r="402" spans="1:11">
      <c r="A402" s="19" t="s">
        <v>1072</v>
      </c>
      <c r="B402" s="19"/>
      <c r="C402" s="19" t="s">
        <v>1071</v>
      </c>
      <c r="D402" s="19"/>
      <c r="E402" s="93">
        <v>2000</v>
      </c>
      <c r="F402" s="93">
        <v>0</v>
      </c>
      <c r="G402" s="93">
        <v>1951.93</v>
      </c>
      <c r="H402" s="32">
        <f t="shared" ref="H402:H403" si="72">(G402/11)*12</f>
        <v>2129.3781818181819</v>
      </c>
      <c r="I402" s="93">
        <v>2000</v>
      </c>
      <c r="J402" s="96"/>
      <c r="K402"/>
    </row>
    <row r="403" spans="1:11" ht="15" customHeight="1">
      <c r="A403" s="19" t="s">
        <v>322</v>
      </c>
      <c r="B403" s="19"/>
      <c r="C403" s="19" t="s">
        <v>273</v>
      </c>
      <c r="D403" s="19"/>
      <c r="E403" s="93">
        <v>3000</v>
      </c>
      <c r="F403" s="93">
        <v>0</v>
      </c>
      <c r="G403" s="93">
        <v>1555.12</v>
      </c>
      <c r="H403" s="32">
        <f t="shared" si="72"/>
        <v>1696.4945454545455</v>
      </c>
      <c r="I403" s="93">
        <v>3000</v>
      </c>
      <c r="J403" s="96"/>
      <c r="K403"/>
    </row>
    <row r="404" spans="1:11" s="3" customFormat="1" ht="15.75" thickBot="1">
      <c r="A404" s="41"/>
      <c r="B404" s="41"/>
      <c r="C404" s="41" t="s">
        <v>817</v>
      </c>
      <c r="D404" s="41"/>
      <c r="E404" s="177">
        <f>SUM(E401:E403)</f>
        <v>6000</v>
      </c>
      <c r="F404" s="177">
        <f t="shared" ref="F404:I404" si="73">SUM(F401:F403)</f>
        <v>0</v>
      </c>
      <c r="G404" s="177">
        <f t="shared" si="73"/>
        <v>4342.8</v>
      </c>
      <c r="H404" s="177">
        <f t="shared" si="73"/>
        <v>4737.6000000000004</v>
      </c>
      <c r="I404" s="177">
        <f t="shared" si="73"/>
        <v>5750</v>
      </c>
      <c r="J404" s="178"/>
    </row>
    <row r="405" spans="1:11" ht="15.75" thickTop="1">
      <c r="A405" s="19"/>
      <c r="B405" s="19"/>
      <c r="C405" s="19"/>
      <c r="D405" s="19"/>
      <c r="E405" s="182"/>
      <c r="F405" s="182"/>
      <c r="G405" s="183"/>
      <c r="H405" s="183"/>
      <c r="I405" s="183"/>
      <c r="J405" s="168"/>
      <c r="K405" s="184"/>
    </row>
    <row r="406" spans="1:11">
      <c r="A406" s="19" t="s">
        <v>13</v>
      </c>
      <c r="B406" s="19"/>
      <c r="C406" s="19" t="s">
        <v>223</v>
      </c>
      <c r="D406" s="19"/>
      <c r="E406" s="93" t="s">
        <v>13</v>
      </c>
      <c r="F406" s="93" t="s">
        <v>13</v>
      </c>
      <c r="G406" s="93" t="s">
        <v>13</v>
      </c>
      <c r="H406" s="93" t="s">
        <v>13</v>
      </c>
      <c r="I406" s="93" t="s">
        <v>13</v>
      </c>
      <c r="J406" s="179"/>
      <c r="K406" s="19"/>
    </row>
    <row r="407" spans="1:11">
      <c r="A407" s="19" t="s">
        <v>1198</v>
      </c>
      <c r="B407" s="19" t="s">
        <v>1054</v>
      </c>
      <c r="C407" s="19" t="s">
        <v>1199</v>
      </c>
      <c r="D407" s="19"/>
      <c r="E407" s="93">
        <v>0</v>
      </c>
      <c r="F407" s="93">
        <v>0</v>
      </c>
      <c r="G407" s="93">
        <v>0</v>
      </c>
      <c r="H407" s="93">
        <v>0</v>
      </c>
      <c r="I407" s="93">
        <v>500</v>
      </c>
      <c r="J407" s="179"/>
      <c r="K407" s="19"/>
    </row>
    <row r="408" spans="1:11">
      <c r="A408" s="19" t="s">
        <v>324</v>
      </c>
      <c r="B408" s="19"/>
      <c r="C408" s="19" t="s">
        <v>325</v>
      </c>
      <c r="D408" s="19"/>
      <c r="E408" s="93">
        <v>1000</v>
      </c>
      <c r="F408" s="93">
        <v>0</v>
      </c>
      <c r="G408" s="93">
        <v>360.87</v>
      </c>
      <c r="H408" s="32">
        <f>(G408/11)*12</f>
        <v>393.67636363636359</v>
      </c>
      <c r="I408" s="93">
        <v>750</v>
      </c>
      <c r="J408" s="96"/>
      <c r="K408"/>
    </row>
    <row r="409" spans="1:11">
      <c r="A409" s="19" t="s">
        <v>326</v>
      </c>
      <c r="B409" s="19"/>
      <c r="C409" s="19" t="s">
        <v>327</v>
      </c>
      <c r="D409" s="19"/>
      <c r="E409" s="93">
        <v>2000</v>
      </c>
      <c r="F409" s="93">
        <v>0</v>
      </c>
      <c r="G409" s="93">
        <v>1922.68</v>
      </c>
      <c r="H409" s="32">
        <f>(G409/11)*12</f>
        <v>2097.4690909090909</v>
      </c>
      <c r="I409" s="93">
        <v>1800</v>
      </c>
      <c r="J409" s="96"/>
      <c r="K409"/>
    </row>
    <row r="410" spans="1:11" s="3" customFormat="1" ht="15.75" thickBot="1">
      <c r="A410" s="41"/>
      <c r="B410" s="41"/>
      <c r="C410" s="41" t="s">
        <v>822</v>
      </c>
      <c r="D410" s="41"/>
      <c r="E410" s="177">
        <f>SUM(E407:E409)</f>
        <v>3000</v>
      </c>
      <c r="F410" s="177">
        <f t="shared" ref="F410:I410" si="74">SUM(F407:F409)</f>
        <v>0</v>
      </c>
      <c r="G410" s="177">
        <f t="shared" si="74"/>
        <v>2283.5500000000002</v>
      </c>
      <c r="H410" s="177">
        <f t="shared" si="74"/>
        <v>2491.1454545454544</v>
      </c>
      <c r="I410" s="177">
        <f t="shared" si="74"/>
        <v>3050</v>
      </c>
      <c r="J410" s="178"/>
    </row>
    <row r="411" spans="1:11" ht="15.75" thickTop="1">
      <c r="A411" s="19"/>
      <c r="B411" s="19"/>
      <c r="C411" s="19"/>
      <c r="D411" s="19"/>
      <c r="E411" s="20"/>
      <c r="F411" s="20"/>
      <c r="G411" s="20"/>
      <c r="H411" s="183"/>
      <c r="I411" s="20"/>
      <c r="J411" s="168"/>
      <c r="K411" s="19"/>
    </row>
    <row r="412" spans="1:11">
      <c r="A412" s="19" t="s">
        <v>13</v>
      </c>
      <c r="B412" s="19"/>
      <c r="C412" s="19" t="s">
        <v>1061</v>
      </c>
      <c r="D412" s="19"/>
      <c r="E412" s="93" t="s">
        <v>13</v>
      </c>
      <c r="F412" s="93" t="s">
        <v>13</v>
      </c>
      <c r="G412" s="93" t="s">
        <v>13</v>
      </c>
      <c r="H412" s="93" t="s">
        <v>13</v>
      </c>
      <c r="I412" s="93" t="s">
        <v>13</v>
      </c>
      <c r="J412" s="179"/>
      <c r="K412" s="19"/>
    </row>
    <row r="413" spans="1:11">
      <c r="A413" s="19" t="s">
        <v>1073</v>
      </c>
      <c r="B413" s="19" t="s">
        <v>1054</v>
      </c>
      <c r="C413" s="19" t="s">
        <v>318</v>
      </c>
      <c r="D413" s="19"/>
      <c r="E413" s="93">
        <v>10000</v>
      </c>
      <c r="F413" s="93">
        <v>0</v>
      </c>
      <c r="G413" s="93">
        <v>9780.64</v>
      </c>
      <c r="H413" s="32">
        <f>(G413/11)*12</f>
        <v>10669.789090909091</v>
      </c>
      <c r="I413" s="93">
        <v>20000</v>
      </c>
      <c r="J413" s="96" t="s">
        <v>1038</v>
      </c>
      <c r="K413"/>
    </row>
    <row r="414" spans="1:11" ht="15" customHeight="1">
      <c r="A414" s="19" t="s">
        <v>1074</v>
      </c>
      <c r="B414" s="19" t="s">
        <v>1054</v>
      </c>
      <c r="C414" s="19" t="s">
        <v>323</v>
      </c>
      <c r="D414" s="19"/>
      <c r="E414" s="93">
        <v>1000</v>
      </c>
      <c r="F414" s="93">
        <v>0</v>
      </c>
      <c r="G414" s="93">
        <v>804.54</v>
      </c>
      <c r="H414" s="32">
        <f>(G414/11)*12</f>
        <v>877.68000000000006</v>
      </c>
      <c r="I414" s="93">
        <v>1000</v>
      </c>
      <c r="J414" s="181" t="s">
        <v>684</v>
      </c>
      <c r="K414"/>
    </row>
    <row r="415" spans="1:11" s="3" customFormat="1" ht="15.75" thickBot="1">
      <c r="A415" s="41"/>
      <c r="B415" s="41"/>
      <c r="C415" s="41" t="s">
        <v>1060</v>
      </c>
      <c r="D415" s="41"/>
      <c r="E415" s="177">
        <f>SUM(E413:E414)</f>
        <v>11000</v>
      </c>
      <c r="F415" s="177">
        <f t="shared" ref="F415:I415" si="75">SUM(F413:F414)</f>
        <v>0</v>
      </c>
      <c r="G415" s="177">
        <f t="shared" si="75"/>
        <v>10585.18</v>
      </c>
      <c r="H415" s="177">
        <f t="shared" si="75"/>
        <v>11547.469090909091</v>
      </c>
      <c r="I415" s="177">
        <f t="shared" si="75"/>
        <v>21000</v>
      </c>
      <c r="J415" s="178"/>
    </row>
    <row r="416" spans="1:11" ht="15.75" thickTop="1">
      <c r="A416" s="19"/>
      <c r="B416" s="19"/>
      <c r="C416" s="19"/>
      <c r="D416" s="19"/>
      <c r="E416" s="20"/>
      <c r="F416" s="20"/>
      <c r="G416" s="20"/>
      <c r="H416" s="20"/>
      <c r="I416" s="20"/>
      <c r="J416" s="168"/>
      <c r="K416" s="19"/>
    </row>
    <row r="417" spans="1:11">
      <c r="A417" s="19" t="s">
        <v>13</v>
      </c>
      <c r="B417" s="19"/>
      <c r="C417" s="19" t="s">
        <v>32</v>
      </c>
      <c r="D417" s="19"/>
      <c r="E417" s="93" t="s">
        <v>13</v>
      </c>
      <c r="F417" s="93" t="s">
        <v>13</v>
      </c>
      <c r="G417" s="93" t="s">
        <v>13</v>
      </c>
      <c r="H417" s="93" t="s">
        <v>13</v>
      </c>
      <c r="I417" s="93" t="s">
        <v>13</v>
      </c>
      <c r="J417" s="179"/>
      <c r="K417" s="19"/>
    </row>
    <row r="418" spans="1:11">
      <c r="A418" s="19" t="s">
        <v>446</v>
      </c>
      <c r="B418" s="19"/>
      <c r="C418" s="19" t="s">
        <v>310</v>
      </c>
      <c r="D418" s="19"/>
      <c r="E418" s="93">
        <v>0</v>
      </c>
      <c r="F418" s="93">
        <v>0</v>
      </c>
      <c r="G418" s="93">
        <v>7500</v>
      </c>
      <c r="H418" s="93">
        <v>7500</v>
      </c>
      <c r="I418" s="93">
        <v>7500</v>
      </c>
      <c r="J418" s="96" t="s">
        <v>1040</v>
      </c>
      <c r="K418"/>
    </row>
    <row r="419" spans="1:11">
      <c r="A419" s="19" t="s">
        <v>708</v>
      </c>
      <c r="B419" s="19"/>
      <c r="C419" s="19" t="s">
        <v>709</v>
      </c>
      <c r="D419" s="19"/>
      <c r="E419" s="93">
        <v>15000</v>
      </c>
      <c r="F419" s="93">
        <v>0</v>
      </c>
      <c r="G419" s="93">
        <v>0</v>
      </c>
      <c r="H419" s="93">
        <v>0</v>
      </c>
      <c r="I419" s="93">
        <v>0</v>
      </c>
      <c r="J419" s="96"/>
      <c r="K419" s="93"/>
    </row>
    <row r="420" spans="1:11" s="3" customFormat="1" ht="15.75" thickBot="1">
      <c r="A420" s="41"/>
      <c r="B420" s="41"/>
      <c r="C420" s="41" t="s">
        <v>828</v>
      </c>
      <c r="D420" s="41"/>
      <c r="E420" s="177">
        <f>SUM(E418:E419)</f>
        <v>15000</v>
      </c>
      <c r="F420" s="177">
        <f t="shared" ref="F420:I420" si="76">SUM(F418:F419)</f>
        <v>0</v>
      </c>
      <c r="G420" s="177">
        <f t="shared" si="76"/>
        <v>7500</v>
      </c>
      <c r="H420" s="177">
        <f t="shared" si="76"/>
        <v>7500</v>
      </c>
      <c r="I420" s="177">
        <f t="shared" si="76"/>
        <v>7500</v>
      </c>
      <c r="J420" s="178"/>
    </row>
    <row r="421" spans="1:11" ht="15.75" thickTop="1">
      <c r="A421" s="19"/>
      <c r="B421" s="19"/>
      <c r="C421" s="19"/>
      <c r="D421" s="19"/>
      <c r="E421" s="20"/>
      <c r="F421" s="20"/>
      <c r="G421" s="20"/>
      <c r="H421" s="20"/>
      <c r="I421" s="20"/>
      <c r="J421" s="168"/>
      <c r="K421" s="19"/>
    </row>
    <row r="422" spans="1:11">
      <c r="A422" s="19"/>
      <c r="B422" s="19"/>
      <c r="C422" s="19" t="s">
        <v>37</v>
      </c>
      <c r="D422" s="19"/>
      <c r="E422" s="20"/>
      <c r="F422" s="20"/>
      <c r="G422" s="20"/>
      <c r="I422" s="20"/>
      <c r="J422" s="95"/>
      <c r="K422"/>
    </row>
    <row r="423" spans="1:11">
      <c r="A423" s="19" t="s">
        <v>733</v>
      </c>
      <c r="B423" s="19"/>
      <c r="C423" s="19" t="s">
        <v>732</v>
      </c>
      <c r="D423" s="19"/>
      <c r="E423" s="32">
        <v>0</v>
      </c>
      <c r="F423" s="32">
        <v>0</v>
      </c>
      <c r="G423" s="32">
        <v>0</v>
      </c>
      <c r="H423" s="37">
        <v>0</v>
      </c>
      <c r="I423" s="32">
        <v>0</v>
      </c>
      <c r="J423" s="95"/>
      <c r="K423"/>
    </row>
    <row r="424" spans="1:11" s="3" customFormat="1" ht="15.75" thickBot="1">
      <c r="A424" s="41"/>
      <c r="B424" s="41"/>
      <c r="C424" s="41" t="s">
        <v>835</v>
      </c>
      <c r="D424" s="41"/>
      <c r="E424" s="167">
        <f>SUM(E423)</f>
        <v>0</v>
      </c>
      <c r="F424" s="167">
        <f t="shared" ref="F424:I424" si="77">SUM(F423)</f>
        <v>0</v>
      </c>
      <c r="G424" s="167">
        <f t="shared" si="77"/>
        <v>0</v>
      </c>
      <c r="H424" s="167">
        <f t="shared" si="77"/>
        <v>0</v>
      </c>
      <c r="I424" s="167">
        <f t="shared" si="77"/>
        <v>0</v>
      </c>
      <c r="J424" s="164"/>
    </row>
    <row r="425" spans="1:11" ht="15.75" thickTop="1">
      <c r="A425" s="19"/>
      <c r="B425" s="19"/>
      <c r="C425" s="19"/>
      <c r="D425" s="19"/>
      <c r="E425" s="20"/>
      <c r="F425" s="20"/>
      <c r="G425" s="20"/>
      <c r="I425" s="20"/>
      <c r="J425" s="95"/>
      <c r="K425"/>
    </row>
    <row r="426" spans="1:11" ht="15.75" thickBot="1">
      <c r="A426" s="19"/>
      <c r="B426" s="19"/>
      <c r="C426" s="41" t="s">
        <v>909</v>
      </c>
      <c r="D426" s="41"/>
      <c r="E426" s="171">
        <f>E380+E384+E398+E404+E410+E415+E420+E424</f>
        <v>298253</v>
      </c>
      <c r="F426" s="171">
        <f t="shared" ref="F426:I426" si="78">F380+F384+F398+F404+F410+F415+F420+F424</f>
        <v>0</v>
      </c>
      <c r="G426" s="171">
        <f t="shared" si="78"/>
        <v>341210.67</v>
      </c>
      <c r="H426" s="171">
        <f t="shared" si="78"/>
        <v>368057.61542776512</v>
      </c>
      <c r="I426" s="171">
        <f t="shared" si="78"/>
        <v>347526</v>
      </c>
      <c r="J426" s="96"/>
      <c r="K426"/>
    </row>
    <row r="427" spans="1:11" ht="15.75" thickTop="1">
      <c r="A427" s="19"/>
      <c r="B427" s="19"/>
      <c r="C427" s="19"/>
      <c r="D427" s="19"/>
      <c r="E427" s="20"/>
      <c r="F427" s="20"/>
      <c r="G427" s="20"/>
      <c r="H427" s="20"/>
      <c r="I427" s="20"/>
      <c r="J427" s="168"/>
      <c r="K427" s="19"/>
    </row>
    <row r="428" spans="1:11">
      <c r="A428" s="19"/>
      <c r="B428" s="19"/>
      <c r="C428" s="19"/>
      <c r="D428" s="19"/>
      <c r="E428" s="20"/>
      <c r="F428" s="20"/>
      <c r="G428" s="20"/>
      <c r="H428" s="20"/>
      <c r="I428" s="20"/>
      <c r="J428" s="168"/>
      <c r="K428" s="19"/>
    </row>
    <row r="429" spans="1:11">
      <c r="A429" s="201" t="s">
        <v>728</v>
      </c>
      <c r="B429" s="201"/>
      <c r="C429" s="201"/>
      <c r="D429" s="201"/>
      <c r="E429" s="201"/>
      <c r="F429" s="201"/>
      <c r="G429" s="201"/>
      <c r="H429" s="201"/>
      <c r="I429" s="201"/>
      <c r="J429" s="201"/>
      <c r="K429"/>
    </row>
    <row r="430" spans="1:11">
      <c r="A430" s="19" t="s">
        <v>13</v>
      </c>
      <c r="B430" s="19"/>
      <c r="C430" s="19" t="s">
        <v>204</v>
      </c>
      <c r="D430" s="19"/>
      <c r="E430" s="32" t="s">
        <v>13</v>
      </c>
      <c r="F430" s="32" t="s">
        <v>13</v>
      </c>
      <c r="G430" s="32" t="s">
        <v>13</v>
      </c>
      <c r="H430" s="32" t="s">
        <v>13</v>
      </c>
      <c r="I430" s="32" t="s">
        <v>13</v>
      </c>
      <c r="J430" s="168"/>
      <c r="K430" s="19"/>
    </row>
    <row r="431" spans="1:11">
      <c r="A431" s="19" t="s">
        <v>328</v>
      </c>
      <c r="B431" s="19"/>
      <c r="C431" s="19" t="s">
        <v>869</v>
      </c>
      <c r="D431" s="19"/>
      <c r="E431" s="32">
        <v>135000</v>
      </c>
      <c r="F431" s="32">
        <v>0</v>
      </c>
      <c r="G431" s="32">
        <v>139012.66</v>
      </c>
      <c r="H431" s="32">
        <f>(G431/24)*26</f>
        <v>150597.04833333334</v>
      </c>
      <c r="I431" s="32">
        <v>260000</v>
      </c>
      <c r="J431" s="96" t="s">
        <v>1041</v>
      </c>
      <c r="K431"/>
    </row>
    <row r="432" spans="1:11">
      <c r="A432" s="19" t="s">
        <v>329</v>
      </c>
      <c r="B432" s="19"/>
      <c r="C432" s="19" t="s">
        <v>870</v>
      </c>
      <c r="D432" s="19"/>
      <c r="E432" s="32">
        <v>20000</v>
      </c>
      <c r="F432" s="32">
        <v>0</v>
      </c>
      <c r="G432" s="32">
        <v>27778.23</v>
      </c>
      <c r="H432" s="32">
        <f>(G432/24)*26</f>
        <v>30093.0825</v>
      </c>
      <c r="I432" s="32">
        <v>20000</v>
      </c>
      <c r="J432" s="96"/>
      <c r="K432"/>
    </row>
    <row r="433" spans="1:11" ht="15.75" thickBot="1">
      <c r="A433" s="19" t="s">
        <v>13</v>
      </c>
      <c r="B433" s="19"/>
      <c r="C433" s="19" t="s">
        <v>825</v>
      </c>
      <c r="D433" s="19"/>
      <c r="E433" s="172">
        <f>SUM(E431:E432)</f>
        <v>155000</v>
      </c>
      <c r="F433" s="172">
        <f t="shared" ref="F433:I433" si="79">SUM(F431:F432)</f>
        <v>0</v>
      </c>
      <c r="G433" s="172">
        <f t="shared" si="79"/>
        <v>166790.89000000001</v>
      </c>
      <c r="H433" s="172">
        <f t="shared" si="79"/>
        <v>180690.13083333333</v>
      </c>
      <c r="I433" s="172">
        <f t="shared" si="79"/>
        <v>280000</v>
      </c>
      <c r="J433" s="96"/>
      <c r="K433"/>
    </row>
    <row r="434" spans="1:11" ht="15.75" thickTop="1">
      <c r="A434" s="19" t="s">
        <v>13</v>
      </c>
      <c r="B434" s="19"/>
      <c r="C434" s="19" t="s">
        <v>13</v>
      </c>
      <c r="D434" s="19" t="s">
        <v>13</v>
      </c>
      <c r="E434" s="32" t="s">
        <v>13</v>
      </c>
      <c r="F434" s="32" t="s">
        <v>13</v>
      </c>
      <c r="G434" s="32" t="s">
        <v>13</v>
      </c>
      <c r="H434" s="32" t="s">
        <v>13</v>
      </c>
      <c r="I434" s="32" t="s">
        <v>13</v>
      </c>
      <c r="J434" s="168"/>
      <c r="K434" s="19"/>
    </row>
    <row r="435" spans="1:11">
      <c r="A435" s="19" t="s">
        <v>13</v>
      </c>
      <c r="B435" s="19"/>
      <c r="C435" s="19" t="s">
        <v>205</v>
      </c>
      <c r="D435" s="19"/>
      <c r="E435" s="32" t="s">
        <v>13</v>
      </c>
      <c r="F435" s="32" t="s">
        <v>13</v>
      </c>
      <c r="G435" s="32" t="s">
        <v>13</v>
      </c>
      <c r="H435" s="32" t="s">
        <v>13</v>
      </c>
      <c r="I435" s="32" t="s">
        <v>13</v>
      </c>
      <c r="J435" s="168"/>
      <c r="K435" s="19"/>
    </row>
    <row r="436" spans="1:11">
      <c r="A436" s="19" t="s">
        <v>1256</v>
      </c>
      <c r="B436" s="19" t="s">
        <v>1054</v>
      </c>
      <c r="C436" s="19" t="s">
        <v>227</v>
      </c>
      <c r="D436" s="19"/>
      <c r="E436" s="32">
        <v>0</v>
      </c>
      <c r="F436" s="32">
        <v>0</v>
      </c>
      <c r="G436" s="32">
        <v>0</v>
      </c>
      <c r="H436" s="32">
        <v>0</v>
      </c>
      <c r="I436" s="32">
        <v>0</v>
      </c>
      <c r="J436" s="168"/>
      <c r="K436" s="19"/>
    </row>
    <row r="437" spans="1:11">
      <c r="A437" s="19" t="s">
        <v>330</v>
      </c>
      <c r="B437" s="19"/>
      <c r="C437" s="19" t="s">
        <v>215</v>
      </c>
      <c r="D437" s="19"/>
      <c r="E437" s="32">
        <v>11858</v>
      </c>
      <c r="F437" s="32">
        <v>0</v>
      </c>
      <c r="G437" s="32">
        <v>12732.04</v>
      </c>
      <c r="H437" s="32">
        <f>H433*0.0765</f>
        <v>13822.795008749999</v>
      </c>
      <c r="I437" s="32">
        <f>I433*0.0765</f>
        <v>21420</v>
      </c>
      <c r="J437" s="96"/>
      <c r="K437"/>
    </row>
    <row r="438" spans="1:11">
      <c r="A438" s="19" t="s">
        <v>1257</v>
      </c>
      <c r="B438" s="19" t="s">
        <v>1054</v>
      </c>
      <c r="C438" s="19" t="s">
        <v>231</v>
      </c>
      <c r="D438" s="19"/>
      <c r="E438" s="32">
        <v>0</v>
      </c>
      <c r="F438" s="32">
        <v>0</v>
      </c>
      <c r="G438" s="32">
        <v>0</v>
      </c>
      <c r="H438" s="32">
        <v>0</v>
      </c>
      <c r="I438" s="32">
        <v>0</v>
      </c>
      <c r="J438" s="96"/>
      <c r="K438"/>
    </row>
    <row r="439" spans="1:11">
      <c r="A439" s="19" t="s">
        <v>1223</v>
      </c>
      <c r="B439" s="19" t="s">
        <v>1054</v>
      </c>
      <c r="C439" s="19" t="s">
        <v>1219</v>
      </c>
      <c r="D439" s="19"/>
      <c r="E439" s="32">
        <v>0</v>
      </c>
      <c r="F439" s="32">
        <v>0</v>
      </c>
      <c r="G439" s="32">
        <v>0</v>
      </c>
      <c r="H439" s="32">
        <v>0</v>
      </c>
      <c r="I439" s="32">
        <v>0</v>
      </c>
      <c r="J439" s="96"/>
      <c r="K439"/>
    </row>
    <row r="440" spans="1:11">
      <c r="A440" s="19" t="s">
        <v>1258</v>
      </c>
      <c r="B440" s="19" t="s">
        <v>1054</v>
      </c>
      <c r="C440" s="19" t="s">
        <v>234</v>
      </c>
      <c r="D440" s="19"/>
      <c r="E440" s="32">
        <v>0</v>
      </c>
      <c r="F440" s="32">
        <v>0</v>
      </c>
      <c r="G440" s="32">
        <v>0</v>
      </c>
      <c r="H440" s="32">
        <v>0</v>
      </c>
      <c r="I440" s="32">
        <v>0</v>
      </c>
      <c r="J440" s="96"/>
      <c r="K440"/>
    </row>
    <row r="441" spans="1:11" ht="15.75" thickBot="1">
      <c r="A441" s="19"/>
      <c r="B441" s="19"/>
      <c r="C441" s="19" t="s">
        <v>829</v>
      </c>
      <c r="D441" s="19"/>
      <c r="E441" s="172">
        <f>SUM(E436:E440)</f>
        <v>11858</v>
      </c>
      <c r="F441" s="172">
        <f t="shared" ref="F441:I441" si="80">SUM(F436:F440)</f>
        <v>0</v>
      </c>
      <c r="G441" s="172">
        <f t="shared" si="80"/>
        <v>12732.04</v>
      </c>
      <c r="H441" s="172">
        <f t="shared" si="80"/>
        <v>13822.795008749999</v>
      </c>
      <c r="I441" s="172">
        <f t="shared" si="80"/>
        <v>21420</v>
      </c>
      <c r="J441" s="96"/>
      <c r="K441"/>
    </row>
    <row r="442" spans="1:11" ht="15.75" thickTop="1">
      <c r="A442" s="19"/>
      <c r="B442" s="19"/>
      <c r="C442" s="19"/>
      <c r="D442" s="19"/>
      <c r="E442" s="20"/>
      <c r="F442" s="20"/>
      <c r="G442" s="20"/>
      <c r="H442" s="20"/>
      <c r="I442" s="20"/>
      <c r="J442" s="96"/>
      <c r="K442"/>
    </row>
    <row r="443" spans="1:11" s="3" customFormat="1" ht="15.75" thickBot="1">
      <c r="A443" s="41"/>
      <c r="B443" s="41"/>
      <c r="C443" s="41" t="s">
        <v>830</v>
      </c>
      <c r="D443" s="41"/>
      <c r="E443" s="171">
        <f>E433+E441</f>
        <v>166858</v>
      </c>
      <c r="F443" s="171">
        <f>F433+F441</f>
        <v>0</v>
      </c>
      <c r="G443" s="171">
        <f>G433+G441</f>
        <v>179522.93000000002</v>
      </c>
      <c r="H443" s="171">
        <f>H433+H441</f>
        <v>194512.92584208332</v>
      </c>
      <c r="I443" s="171">
        <f>I433+I441</f>
        <v>301420</v>
      </c>
      <c r="J443" s="178"/>
    </row>
    <row r="444" spans="1:11" ht="15.75" thickTop="1">
      <c r="A444" s="19"/>
      <c r="B444" s="19"/>
      <c r="C444" s="19"/>
      <c r="D444" s="19"/>
      <c r="E444" s="20"/>
      <c r="F444" s="20"/>
      <c r="G444" s="20"/>
      <c r="H444" s="20"/>
      <c r="I444" s="20"/>
      <c r="J444" s="168"/>
      <c r="K444" s="19"/>
    </row>
    <row r="445" spans="1:11">
      <c r="A445" s="19" t="s">
        <v>13</v>
      </c>
      <c r="B445" s="19"/>
      <c r="C445" s="19" t="s">
        <v>207</v>
      </c>
      <c r="D445" s="19"/>
      <c r="E445" s="93" t="s">
        <v>13</v>
      </c>
      <c r="F445" s="93" t="s">
        <v>13</v>
      </c>
      <c r="G445" s="32" t="s">
        <v>13</v>
      </c>
      <c r="H445" s="32" t="s">
        <v>13</v>
      </c>
      <c r="I445" s="32" t="s">
        <v>13</v>
      </c>
      <c r="J445" s="168"/>
      <c r="K445" s="19"/>
    </row>
    <row r="446" spans="1:11">
      <c r="A446" s="19" t="s">
        <v>331</v>
      </c>
      <c r="B446" s="19" t="s">
        <v>1054</v>
      </c>
      <c r="C446" s="19" t="s">
        <v>316</v>
      </c>
      <c r="D446" s="19"/>
      <c r="E446" s="93">
        <v>2000</v>
      </c>
      <c r="F446" s="93">
        <v>0</v>
      </c>
      <c r="G446" s="32">
        <v>3200</v>
      </c>
      <c r="H446" s="32">
        <v>3200</v>
      </c>
      <c r="I446" s="32">
        <v>2500</v>
      </c>
      <c r="J446" s="96" t="s">
        <v>1009</v>
      </c>
      <c r="K446"/>
    </row>
    <row r="447" spans="1:11" s="3" customFormat="1" ht="15.75" thickBot="1">
      <c r="A447" s="41" t="s">
        <v>13</v>
      </c>
      <c r="B447" s="41"/>
      <c r="C447" s="41" t="s">
        <v>831</v>
      </c>
      <c r="D447" s="41"/>
      <c r="E447" s="177">
        <f>SUM(E446)</f>
        <v>2000</v>
      </c>
      <c r="F447" s="177">
        <f t="shared" ref="F447:I447" si="81">SUM(F446)</f>
        <v>0</v>
      </c>
      <c r="G447" s="177">
        <f t="shared" si="81"/>
        <v>3200</v>
      </c>
      <c r="H447" s="177">
        <f t="shared" si="81"/>
        <v>3200</v>
      </c>
      <c r="I447" s="177">
        <f t="shared" si="81"/>
        <v>2500</v>
      </c>
      <c r="J447" s="178"/>
    </row>
    <row r="448" spans="1:11" ht="15.75" thickTop="1">
      <c r="A448" s="19"/>
      <c r="B448" s="19"/>
      <c r="C448" s="19"/>
      <c r="D448" s="19"/>
      <c r="E448" s="93"/>
      <c r="F448" s="93"/>
      <c r="G448" s="32"/>
      <c r="H448" s="32"/>
      <c r="I448" s="32"/>
      <c r="J448" s="168"/>
    </row>
    <row r="449" spans="1:11">
      <c r="A449" s="19" t="s">
        <v>13</v>
      </c>
      <c r="B449" s="19"/>
      <c r="C449" s="19" t="s">
        <v>210</v>
      </c>
      <c r="D449" s="19"/>
      <c r="E449" s="93" t="s">
        <v>13</v>
      </c>
      <c r="F449" s="93" t="s">
        <v>13</v>
      </c>
      <c r="G449" s="32" t="s">
        <v>13</v>
      </c>
      <c r="H449" s="32" t="s">
        <v>13</v>
      </c>
      <c r="I449" s="32" t="s">
        <v>13</v>
      </c>
      <c r="J449" s="168"/>
    </row>
    <row r="450" spans="1:11">
      <c r="A450" s="19" t="s">
        <v>1236</v>
      </c>
      <c r="B450" s="19" t="s">
        <v>1054</v>
      </c>
      <c r="C450" s="19" t="s">
        <v>1232</v>
      </c>
      <c r="D450" s="19"/>
      <c r="E450" s="93">
        <v>0</v>
      </c>
      <c r="F450" s="93">
        <v>0</v>
      </c>
      <c r="G450" s="32"/>
      <c r="H450" s="32"/>
      <c r="I450" s="32"/>
      <c r="J450" s="168"/>
    </row>
    <row r="451" spans="1:11">
      <c r="A451" s="19" t="s">
        <v>961</v>
      </c>
      <c r="B451" s="19"/>
      <c r="C451" s="19" t="s">
        <v>960</v>
      </c>
      <c r="D451" s="19"/>
      <c r="E451" s="93">
        <v>0</v>
      </c>
      <c r="F451" s="93">
        <v>0</v>
      </c>
      <c r="G451" s="32">
        <v>885.71</v>
      </c>
      <c r="H451" s="32">
        <v>885.71</v>
      </c>
      <c r="I451" s="32">
        <v>0</v>
      </c>
      <c r="J451" s="95"/>
      <c r="K451"/>
    </row>
    <row r="452" spans="1:11">
      <c r="A452" s="19" t="s">
        <v>1025</v>
      </c>
      <c r="B452" s="19"/>
      <c r="C452" s="175" t="s">
        <v>1254</v>
      </c>
      <c r="D452" s="19"/>
      <c r="E452" s="93">
        <v>0</v>
      </c>
      <c r="F452" s="93">
        <v>0</v>
      </c>
      <c r="G452" s="93">
        <v>8805.32</v>
      </c>
      <c r="H452" s="32">
        <f>(G452/11)*12</f>
        <v>9605.8036363636365</v>
      </c>
      <c r="I452" s="93">
        <v>9895</v>
      </c>
      <c r="J452" s="96"/>
      <c r="K452"/>
    </row>
    <row r="453" spans="1:11">
      <c r="A453" s="19" t="s">
        <v>1026</v>
      </c>
      <c r="B453" s="19"/>
      <c r="C453" s="175" t="s">
        <v>1255</v>
      </c>
      <c r="D453" s="19"/>
      <c r="E453" s="93">
        <v>0</v>
      </c>
      <c r="F453" s="93">
        <v>0</v>
      </c>
      <c r="G453" s="93">
        <v>1438.83</v>
      </c>
      <c r="H453" s="32">
        <f>(G453/11)*12</f>
        <v>1569.6327272727272</v>
      </c>
      <c r="I453" s="93">
        <v>1620</v>
      </c>
      <c r="J453" s="96"/>
      <c r="K453"/>
    </row>
    <row r="454" spans="1:11">
      <c r="A454" s="19" t="s">
        <v>1237</v>
      </c>
      <c r="B454" s="19" t="s">
        <v>1054</v>
      </c>
      <c r="C454" s="175" t="s">
        <v>251</v>
      </c>
      <c r="D454" s="19"/>
      <c r="E454" s="93">
        <v>0</v>
      </c>
      <c r="F454" s="93">
        <v>0</v>
      </c>
      <c r="G454" s="93"/>
      <c r="H454" s="32"/>
      <c r="I454" s="93"/>
      <c r="J454" s="96"/>
      <c r="K454"/>
    </row>
    <row r="455" spans="1:11">
      <c r="A455" s="19" t="s">
        <v>1075</v>
      </c>
      <c r="B455" s="19" t="s">
        <v>1054</v>
      </c>
      <c r="C455" s="19" t="s">
        <v>209</v>
      </c>
      <c r="D455" s="19"/>
      <c r="E455" s="93">
        <v>500</v>
      </c>
      <c r="F455" s="93">
        <v>0</v>
      </c>
      <c r="G455" s="32">
        <v>505.89</v>
      </c>
      <c r="H455" s="32">
        <v>500</v>
      </c>
      <c r="I455" s="32">
        <v>500</v>
      </c>
      <c r="J455" s="96"/>
      <c r="K455"/>
    </row>
    <row r="456" spans="1:11">
      <c r="A456" s="19" t="s">
        <v>332</v>
      </c>
      <c r="B456" s="19"/>
      <c r="C456" s="19" t="s">
        <v>266</v>
      </c>
      <c r="D456" s="19"/>
      <c r="E456" s="93">
        <v>2290</v>
      </c>
      <c r="F456" s="93">
        <v>0</v>
      </c>
      <c r="G456" s="32">
        <v>1923.59</v>
      </c>
      <c r="H456" s="32">
        <f t="shared" ref="H456" si="82">(G456/11)*12</f>
        <v>2098.4618181818182</v>
      </c>
      <c r="I456" s="32">
        <v>2100</v>
      </c>
      <c r="J456" s="95"/>
      <c r="K456"/>
    </row>
    <row r="457" spans="1:11">
      <c r="A457" s="19" t="s">
        <v>333</v>
      </c>
      <c r="B457" s="19"/>
      <c r="C457" s="19" t="s">
        <v>299</v>
      </c>
      <c r="D457" s="19"/>
      <c r="E457" s="93">
        <v>5000</v>
      </c>
      <c r="F457" s="93">
        <v>0</v>
      </c>
      <c r="G457" s="32">
        <v>1322.57</v>
      </c>
      <c r="H457" s="32">
        <v>3000</v>
      </c>
      <c r="I457" s="32">
        <v>5000</v>
      </c>
      <c r="J457" s="95"/>
      <c r="K457"/>
    </row>
    <row r="458" spans="1:11" s="3" customFormat="1" ht="15.75" thickBot="1">
      <c r="A458" s="41" t="s">
        <v>13</v>
      </c>
      <c r="B458" s="41"/>
      <c r="C458" s="41" t="s">
        <v>832</v>
      </c>
      <c r="D458" s="41"/>
      <c r="E458" s="177">
        <f>SUM(E450:E457)</f>
        <v>7790</v>
      </c>
      <c r="F458" s="177">
        <f t="shared" ref="F458:I458" si="83">SUM(F450:F457)</f>
        <v>0</v>
      </c>
      <c r="G458" s="177">
        <f t="shared" si="83"/>
        <v>14881.909999999998</v>
      </c>
      <c r="H458" s="177">
        <f t="shared" si="83"/>
        <v>17659.608181818185</v>
      </c>
      <c r="I458" s="177">
        <f t="shared" si="83"/>
        <v>19115</v>
      </c>
      <c r="J458" s="164"/>
    </row>
    <row r="459" spans="1:11" ht="15.75" thickTop="1">
      <c r="A459" s="19"/>
      <c r="B459" s="19"/>
      <c r="C459" s="19"/>
      <c r="D459" s="19"/>
      <c r="E459" s="20"/>
      <c r="F459" s="20"/>
      <c r="G459" s="20"/>
      <c r="H459" s="20"/>
      <c r="I459" s="20"/>
      <c r="J459" s="168"/>
    </row>
    <row r="460" spans="1:11">
      <c r="A460" s="19" t="s">
        <v>13</v>
      </c>
      <c r="B460" s="19"/>
      <c r="C460" s="19" t="s">
        <v>212</v>
      </c>
      <c r="D460" s="19"/>
      <c r="E460" s="32" t="s">
        <v>13</v>
      </c>
      <c r="F460" s="32" t="s">
        <v>13</v>
      </c>
      <c r="G460" s="32" t="s">
        <v>13</v>
      </c>
      <c r="H460" s="32" t="s">
        <v>13</v>
      </c>
      <c r="I460" s="32" t="s">
        <v>13</v>
      </c>
      <c r="J460" s="168"/>
    </row>
    <row r="461" spans="1:11">
      <c r="A461" s="19" t="s">
        <v>334</v>
      </c>
      <c r="B461" s="19"/>
      <c r="C461" s="19" t="s">
        <v>271</v>
      </c>
      <c r="D461" s="19"/>
      <c r="E461" s="32">
        <v>750</v>
      </c>
      <c r="F461" s="32">
        <v>0</v>
      </c>
      <c r="G461" s="32">
        <v>573.76</v>
      </c>
      <c r="H461" s="32">
        <f>((G461/11)*12)</f>
        <v>625.91999999999996</v>
      </c>
      <c r="I461" s="32">
        <v>750</v>
      </c>
      <c r="J461" s="95"/>
      <c r="K461"/>
    </row>
    <row r="462" spans="1:11" s="3" customFormat="1" ht="15.75" thickBot="1">
      <c r="A462" s="41"/>
      <c r="B462" s="41"/>
      <c r="C462" s="41" t="s">
        <v>833</v>
      </c>
      <c r="D462" s="41"/>
      <c r="E462" s="167">
        <f>SUM(E461)</f>
        <v>750</v>
      </c>
      <c r="F462" s="167">
        <f t="shared" ref="F462:I462" si="84">SUM(F461)</f>
        <v>0</v>
      </c>
      <c r="G462" s="167">
        <f t="shared" si="84"/>
        <v>573.76</v>
      </c>
      <c r="H462" s="167">
        <f t="shared" si="84"/>
        <v>625.91999999999996</v>
      </c>
      <c r="I462" s="167">
        <f t="shared" si="84"/>
        <v>750</v>
      </c>
      <c r="J462" s="164"/>
    </row>
    <row r="463" spans="1:11" ht="15.75" thickTop="1">
      <c r="A463" s="19"/>
      <c r="B463" s="19"/>
      <c r="C463" s="19"/>
      <c r="D463" s="19"/>
      <c r="E463" s="82"/>
      <c r="F463" s="82"/>
      <c r="G463" s="82"/>
      <c r="H463" s="82"/>
      <c r="I463" s="82"/>
      <c r="J463" s="170"/>
    </row>
    <row r="464" spans="1:11">
      <c r="A464" s="19" t="s">
        <v>13</v>
      </c>
      <c r="B464" s="19"/>
      <c r="C464" s="19" t="s">
        <v>781</v>
      </c>
      <c r="D464" s="19"/>
      <c r="E464" s="32" t="s">
        <v>13</v>
      </c>
      <c r="F464" s="32" t="s">
        <v>13</v>
      </c>
      <c r="G464" s="32" t="s">
        <v>13</v>
      </c>
      <c r="H464" s="32" t="s">
        <v>13</v>
      </c>
      <c r="I464" s="32" t="s">
        <v>13</v>
      </c>
      <c r="J464" s="168"/>
    </row>
    <row r="465" spans="1:11">
      <c r="A465" s="19" t="s">
        <v>1200</v>
      </c>
      <c r="B465" s="19" t="s">
        <v>1054</v>
      </c>
      <c r="C465" s="19" t="s">
        <v>1199</v>
      </c>
      <c r="D465" s="19"/>
      <c r="E465" s="32">
        <v>0</v>
      </c>
      <c r="F465" s="32">
        <v>0</v>
      </c>
      <c r="G465" s="32">
        <v>0</v>
      </c>
      <c r="H465" s="32">
        <f>((G465/11)*12)</f>
        <v>0</v>
      </c>
      <c r="I465" s="32">
        <v>500</v>
      </c>
      <c r="J465" s="95"/>
      <c r="K465"/>
    </row>
    <row r="466" spans="1:11" s="3" customFormat="1" ht="15.75" thickBot="1">
      <c r="A466" s="41"/>
      <c r="B466" s="41"/>
      <c r="C466" s="41" t="s">
        <v>822</v>
      </c>
      <c r="D466" s="41"/>
      <c r="E466" s="167">
        <f>SUM(E465)</f>
        <v>0</v>
      </c>
      <c r="F466" s="167">
        <f t="shared" ref="F466:I466" si="85">SUM(F465)</f>
        <v>0</v>
      </c>
      <c r="G466" s="167">
        <f t="shared" si="85"/>
        <v>0</v>
      </c>
      <c r="H466" s="167">
        <f t="shared" si="85"/>
        <v>0</v>
      </c>
      <c r="I466" s="167">
        <f t="shared" si="85"/>
        <v>500</v>
      </c>
      <c r="J466" s="164"/>
    </row>
    <row r="467" spans="1:11" ht="15.75" thickTop="1">
      <c r="A467" s="19"/>
      <c r="B467" s="19"/>
      <c r="C467" s="19"/>
      <c r="D467" s="19"/>
      <c r="E467" s="20"/>
      <c r="F467" s="20"/>
      <c r="G467" s="20"/>
      <c r="H467" s="20"/>
      <c r="I467" s="20"/>
      <c r="J467" s="168"/>
    </row>
    <row r="468" spans="1:11">
      <c r="A468" s="19" t="s">
        <v>13</v>
      </c>
      <c r="B468" s="19"/>
      <c r="C468" s="19" t="s">
        <v>1061</v>
      </c>
      <c r="D468" s="19"/>
      <c r="E468" s="93" t="s">
        <v>13</v>
      </c>
      <c r="F468" s="93" t="s">
        <v>13</v>
      </c>
      <c r="G468" s="93" t="s">
        <v>13</v>
      </c>
      <c r="H468" s="93" t="s">
        <v>13</v>
      </c>
      <c r="I468" s="93" t="s">
        <v>13</v>
      </c>
      <c r="J468" s="179"/>
      <c r="K468" s="19"/>
    </row>
    <row r="469" spans="1:11">
      <c r="A469" s="19" t="s">
        <v>1076</v>
      </c>
      <c r="B469" s="19" t="s">
        <v>1054</v>
      </c>
      <c r="C469" s="19" t="s">
        <v>301</v>
      </c>
      <c r="D469" s="19"/>
      <c r="E469" s="93">
        <v>1000</v>
      </c>
      <c r="F469" s="93">
        <v>0</v>
      </c>
      <c r="G469" s="32">
        <v>638.72</v>
      </c>
      <c r="H469" s="32">
        <f>((G469/11)*12)</f>
        <v>696.78545454545463</v>
      </c>
      <c r="I469" s="32">
        <v>750</v>
      </c>
      <c r="J469" s="95"/>
      <c r="K469"/>
    </row>
    <row r="470" spans="1:11">
      <c r="A470" s="19" t="s">
        <v>1077</v>
      </c>
      <c r="B470" s="19" t="s">
        <v>1054</v>
      </c>
      <c r="C470" s="19" t="s">
        <v>323</v>
      </c>
      <c r="D470" s="19"/>
      <c r="E470" s="32">
        <v>400</v>
      </c>
      <c r="F470" s="32">
        <v>0</v>
      </c>
      <c r="G470" s="32">
        <v>239.92</v>
      </c>
      <c r="H470" s="32">
        <f>((G470/11)*12)</f>
        <v>261.73090909090905</v>
      </c>
      <c r="I470" s="32">
        <v>400</v>
      </c>
      <c r="J470" s="95"/>
      <c r="K470"/>
    </row>
    <row r="471" spans="1:11" s="3" customFormat="1" ht="15.75" thickBot="1">
      <c r="A471" s="41"/>
      <c r="B471" s="41"/>
      <c r="C471" s="41" t="s">
        <v>1060</v>
      </c>
      <c r="D471" s="41"/>
      <c r="E471" s="177">
        <f>SUM(E469:E470)</f>
        <v>1400</v>
      </c>
      <c r="F471" s="177">
        <f t="shared" ref="F471:I471" si="86">SUM(F469:F470)</f>
        <v>0</v>
      </c>
      <c r="G471" s="177">
        <f t="shared" si="86"/>
        <v>878.64</v>
      </c>
      <c r="H471" s="177">
        <f t="shared" si="86"/>
        <v>958.51636363636362</v>
      </c>
      <c r="I471" s="177">
        <f t="shared" si="86"/>
        <v>1150</v>
      </c>
      <c r="J471" s="178"/>
    </row>
    <row r="472" spans="1:11" s="3" customFormat="1" ht="15.75" thickTop="1">
      <c r="A472" s="41"/>
      <c r="B472" s="41"/>
      <c r="C472" s="41"/>
      <c r="D472" s="41"/>
      <c r="E472" s="197"/>
      <c r="F472" s="197"/>
      <c r="G472" s="197"/>
      <c r="H472" s="197"/>
      <c r="I472" s="197"/>
      <c r="J472" s="178"/>
    </row>
    <row r="473" spans="1:11">
      <c r="A473" s="19" t="s">
        <v>13</v>
      </c>
      <c r="B473" s="19"/>
      <c r="C473" s="19" t="s">
        <v>32</v>
      </c>
      <c r="D473" s="19"/>
      <c r="E473" s="32" t="s">
        <v>13</v>
      </c>
      <c r="F473" s="32" t="s">
        <v>13</v>
      </c>
      <c r="G473" s="32" t="s">
        <v>13</v>
      </c>
      <c r="H473" s="32" t="s">
        <v>13</v>
      </c>
      <c r="I473" s="32" t="s">
        <v>13</v>
      </c>
      <c r="J473" s="168"/>
    </row>
    <row r="474" spans="1:11">
      <c r="A474" s="19" t="s">
        <v>447</v>
      </c>
      <c r="B474" s="19"/>
      <c r="C474" s="19" t="s">
        <v>335</v>
      </c>
      <c r="D474" s="19"/>
      <c r="E474" s="32">
        <v>0</v>
      </c>
      <c r="F474" s="32">
        <v>0</v>
      </c>
      <c r="G474" s="32">
        <v>0</v>
      </c>
      <c r="H474" s="32">
        <v>0</v>
      </c>
      <c r="I474" s="32">
        <v>0</v>
      </c>
      <c r="J474" s="95"/>
      <c r="K474"/>
    </row>
    <row r="475" spans="1:11" s="3" customFormat="1" ht="15.75" thickBot="1">
      <c r="A475" s="41"/>
      <c r="B475" s="41"/>
      <c r="C475" s="41" t="s">
        <v>834</v>
      </c>
      <c r="D475" s="41"/>
      <c r="E475" s="167">
        <f>SUM(E474)</f>
        <v>0</v>
      </c>
      <c r="F475" s="167">
        <f t="shared" ref="F475:I475" si="87">SUM(F474)</f>
        <v>0</v>
      </c>
      <c r="G475" s="167">
        <f t="shared" si="87"/>
        <v>0</v>
      </c>
      <c r="H475" s="167">
        <f t="shared" si="87"/>
        <v>0</v>
      </c>
      <c r="I475" s="167">
        <f t="shared" si="87"/>
        <v>0</v>
      </c>
      <c r="J475" s="164"/>
    </row>
    <row r="476" spans="1:11" ht="15.75" thickTop="1">
      <c r="A476" s="19"/>
      <c r="B476" s="19"/>
      <c r="C476" s="19"/>
      <c r="D476" s="19"/>
      <c r="E476" s="20"/>
      <c r="F476" s="20"/>
      <c r="G476" s="20"/>
      <c r="H476" s="20"/>
      <c r="I476" s="20"/>
      <c r="J476" s="95"/>
      <c r="K476"/>
    </row>
    <row r="477" spans="1:11">
      <c r="A477" s="19"/>
      <c r="B477" s="19"/>
      <c r="C477" s="19" t="s">
        <v>37</v>
      </c>
      <c r="D477" s="19"/>
      <c r="E477" s="20"/>
      <c r="F477" s="20"/>
      <c r="G477" s="20"/>
      <c r="H477" s="20"/>
      <c r="I477" s="20"/>
      <c r="J477" s="95"/>
      <c r="K477"/>
    </row>
    <row r="478" spans="1:11">
      <c r="A478" s="19" t="s">
        <v>734</v>
      </c>
      <c r="B478" s="19"/>
      <c r="C478" s="19" t="s">
        <v>837</v>
      </c>
      <c r="D478" s="19"/>
      <c r="E478" s="32">
        <v>0</v>
      </c>
      <c r="F478" s="32">
        <v>0</v>
      </c>
      <c r="G478" s="32">
        <v>0</v>
      </c>
      <c r="H478" s="32">
        <v>0</v>
      </c>
      <c r="I478" s="32">
        <v>0</v>
      </c>
      <c r="J478" s="95"/>
      <c r="K478"/>
    </row>
    <row r="479" spans="1:11" s="3" customFormat="1" ht="15.75" thickBot="1">
      <c r="A479" s="41"/>
      <c r="B479" s="41"/>
      <c r="C479" s="41" t="s">
        <v>835</v>
      </c>
      <c r="D479" s="41"/>
      <c r="E479" s="167">
        <f>SUM(E478)</f>
        <v>0</v>
      </c>
      <c r="F479" s="167">
        <f t="shared" ref="F479:I479" si="88">SUM(F478)</f>
        <v>0</v>
      </c>
      <c r="G479" s="167">
        <f t="shared" si="88"/>
        <v>0</v>
      </c>
      <c r="H479" s="167">
        <f t="shared" si="88"/>
        <v>0</v>
      </c>
      <c r="I479" s="167">
        <f t="shared" si="88"/>
        <v>0</v>
      </c>
      <c r="J479" s="164"/>
    </row>
    <row r="480" spans="1:11" ht="15.75" thickTop="1">
      <c r="A480" s="19"/>
      <c r="B480" s="19"/>
      <c r="C480" s="19"/>
      <c r="D480" s="19"/>
      <c r="E480" s="20"/>
      <c r="F480" s="20"/>
      <c r="G480" s="20"/>
      <c r="H480" s="20"/>
      <c r="I480" s="20"/>
      <c r="J480" s="95"/>
      <c r="K480"/>
    </row>
    <row r="481" spans="1:11" ht="15.75" thickBot="1">
      <c r="A481" s="19"/>
      <c r="B481" s="19"/>
      <c r="C481" s="41" t="s">
        <v>838</v>
      </c>
      <c r="D481" s="41"/>
      <c r="E481" s="171">
        <f>E443+E447+E458+E462+E471+E475+E479</f>
        <v>178798</v>
      </c>
      <c r="F481" s="171">
        <f>F443+F447+F458+F462+F471+F475+F479</f>
        <v>0</v>
      </c>
      <c r="G481" s="171">
        <f>G443+G447+G458+G462+G471+G475+G479</f>
        <v>199057.24000000005</v>
      </c>
      <c r="H481" s="171">
        <f>H443+H447+H458+H462+H471+H475+H479</f>
        <v>216956.97038753788</v>
      </c>
      <c r="I481" s="171">
        <f>I443+I447+I458+I462+I471+I475+I479</f>
        <v>324935</v>
      </c>
      <c r="J481" s="95"/>
      <c r="K481"/>
    </row>
    <row r="482" spans="1:11" ht="15.75" thickTop="1">
      <c r="A482" s="19"/>
      <c r="B482" s="19"/>
      <c r="C482" s="19"/>
      <c r="D482" s="19"/>
      <c r="E482" s="20"/>
      <c r="F482" s="20"/>
      <c r="G482" s="20"/>
      <c r="H482" s="20"/>
      <c r="I482" s="20"/>
      <c r="J482" s="168"/>
    </row>
    <row r="483" spans="1:11">
      <c r="A483" s="19"/>
      <c r="B483" s="19"/>
      <c r="C483" s="19"/>
      <c r="D483" s="19"/>
      <c r="E483" s="20"/>
      <c r="F483" s="20"/>
      <c r="G483" s="20"/>
      <c r="H483" s="20"/>
      <c r="I483" s="20"/>
      <c r="J483" s="168"/>
    </row>
    <row r="484" spans="1:11">
      <c r="A484" s="201" t="s">
        <v>729</v>
      </c>
      <c r="B484" s="201"/>
      <c r="C484" s="201"/>
      <c r="D484" s="201"/>
      <c r="E484" s="201"/>
      <c r="F484" s="201"/>
      <c r="G484" s="201"/>
      <c r="H484" s="201"/>
      <c r="I484" s="201"/>
      <c r="J484" s="201"/>
      <c r="K484"/>
    </row>
    <row r="485" spans="1:11">
      <c r="A485" s="19"/>
      <c r="B485" s="19"/>
      <c r="C485" s="19" t="s">
        <v>204</v>
      </c>
      <c r="D485" s="19"/>
      <c r="E485" s="20"/>
      <c r="F485" s="20"/>
      <c r="G485" s="20"/>
      <c r="H485" s="20"/>
      <c r="I485" s="20"/>
      <c r="J485" s="168"/>
    </row>
    <row r="486" spans="1:11">
      <c r="A486" s="19" t="s">
        <v>783</v>
      </c>
      <c r="B486" s="19"/>
      <c r="C486" s="19" t="s">
        <v>871</v>
      </c>
      <c r="D486" s="19"/>
      <c r="E486" s="32">
        <v>11760</v>
      </c>
      <c r="F486" s="32">
        <v>0</v>
      </c>
      <c r="G486" s="32">
        <v>10155.74</v>
      </c>
      <c r="H486" s="32">
        <f>(G486/24)*26</f>
        <v>11002.051666666666</v>
      </c>
      <c r="I486" s="32">
        <v>14280</v>
      </c>
      <c r="J486" s="95"/>
      <c r="K486"/>
    </row>
    <row r="487" spans="1:11">
      <c r="A487" s="19" t="s">
        <v>337</v>
      </c>
      <c r="B487" s="19"/>
      <c r="C487" s="19" t="s">
        <v>872</v>
      </c>
      <c r="D487" s="19"/>
      <c r="E487" s="32">
        <v>30000</v>
      </c>
      <c r="F487" s="32">
        <v>0</v>
      </c>
      <c r="G487" s="32">
        <v>25376.36</v>
      </c>
      <c r="H487" s="32">
        <f>(G487/24)*26</f>
        <v>27491.056666666667</v>
      </c>
      <c r="I487" s="32">
        <v>30000</v>
      </c>
      <c r="J487" s="95"/>
      <c r="K487"/>
    </row>
    <row r="488" spans="1:11" ht="15.75" thickBot="1">
      <c r="A488" s="19"/>
      <c r="B488" s="19"/>
      <c r="C488" s="19" t="s">
        <v>820</v>
      </c>
      <c r="D488" s="19"/>
      <c r="E488" s="172">
        <f>SUM(E486:E487)</f>
        <v>41760</v>
      </c>
      <c r="F488" s="172">
        <f t="shared" ref="F488:I488" si="89">SUM(F486:F487)</f>
        <v>0</v>
      </c>
      <c r="G488" s="172">
        <f t="shared" si="89"/>
        <v>35532.1</v>
      </c>
      <c r="H488" s="172">
        <f t="shared" si="89"/>
        <v>38493.108333333337</v>
      </c>
      <c r="I488" s="172">
        <f t="shared" si="89"/>
        <v>44280</v>
      </c>
      <c r="J488" s="95"/>
      <c r="K488"/>
    </row>
    <row r="489" spans="1:11" ht="15.75" thickTop="1">
      <c r="A489" s="19"/>
      <c r="B489" s="19"/>
      <c r="C489" s="19"/>
      <c r="D489" s="19"/>
      <c r="E489" s="20"/>
      <c r="F489" s="20"/>
      <c r="G489" s="20"/>
      <c r="I489" s="20"/>
      <c r="J489" s="168"/>
    </row>
    <row r="490" spans="1:11">
      <c r="A490" s="19"/>
      <c r="B490" s="19"/>
      <c r="C490" s="19" t="s">
        <v>205</v>
      </c>
      <c r="D490" s="19"/>
      <c r="E490" s="20"/>
      <c r="F490" s="20"/>
      <c r="G490" s="20"/>
      <c r="I490" s="20"/>
      <c r="J490" s="168"/>
    </row>
    <row r="491" spans="1:11">
      <c r="A491" s="19" t="s">
        <v>1259</v>
      </c>
      <c r="B491" s="19" t="s">
        <v>1054</v>
      </c>
      <c r="C491" s="19" t="s">
        <v>227</v>
      </c>
      <c r="D491" s="19"/>
      <c r="E491" s="32">
        <v>0</v>
      </c>
      <c r="F491" s="32">
        <v>0</v>
      </c>
      <c r="G491" s="32">
        <v>0</v>
      </c>
      <c r="H491" s="32">
        <v>0</v>
      </c>
      <c r="I491" s="32">
        <v>0</v>
      </c>
      <c r="J491" s="168"/>
    </row>
    <row r="492" spans="1:11">
      <c r="A492" s="19" t="s">
        <v>339</v>
      </c>
      <c r="B492" s="19"/>
      <c r="C492" s="19" t="s">
        <v>286</v>
      </c>
      <c r="D492" s="19"/>
      <c r="E492" s="32">
        <v>606</v>
      </c>
      <c r="F492" s="32">
        <v>0</v>
      </c>
      <c r="G492" s="32">
        <v>1533.05</v>
      </c>
      <c r="H492" s="32">
        <f>(H488*0.0145)</f>
        <v>558.15007083333342</v>
      </c>
      <c r="I492" s="32">
        <f>I488*0.0145</f>
        <v>642.06000000000006</v>
      </c>
      <c r="J492" s="95"/>
      <c r="K492" s="97"/>
    </row>
    <row r="493" spans="1:11">
      <c r="A493" s="19" t="s">
        <v>340</v>
      </c>
      <c r="B493" s="19"/>
      <c r="C493" s="19" t="s">
        <v>341</v>
      </c>
      <c r="D493" s="19"/>
      <c r="E493" s="32">
        <v>2500</v>
      </c>
      <c r="F493" s="32">
        <v>0</v>
      </c>
      <c r="G493" s="32">
        <v>1685</v>
      </c>
      <c r="H493" s="32">
        <f>(G493/11)*12</f>
        <v>1838.1818181818182</v>
      </c>
      <c r="I493" s="32">
        <v>2500</v>
      </c>
      <c r="J493" s="95"/>
      <c r="K493"/>
    </row>
    <row r="494" spans="1:11">
      <c r="A494" s="19" t="s">
        <v>1260</v>
      </c>
      <c r="B494" s="19" t="s">
        <v>1054</v>
      </c>
      <c r="C494" s="19" t="s">
        <v>231</v>
      </c>
      <c r="D494" s="19"/>
      <c r="E494" s="32">
        <v>0</v>
      </c>
      <c r="F494" s="32">
        <v>0</v>
      </c>
      <c r="G494" s="32">
        <v>0</v>
      </c>
      <c r="H494" s="32">
        <v>0</v>
      </c>
      <c r="I494" s="32">
        <v>0</v>
      </c>
      <c r="J494" s="95"/>
      <c r="K494"/>
    </row>
    <row r="495" spans="1:11">
      <c r="A495" s="19" t="s">
        <v>1218</v>
      </c>
      <c r="B495" s="19" t="s">
        <v>1054</v>
      </c>
      <c r="C495" s="19" t="s">
        <v>1219</v>
      </c>
      <c r="D495" s="19"/>
      <c r="E495" s="32">
        <v>0</v>
      </c>
      <c r="F495" s="32">
        <v>0</v>
      </c>
      <c r="G495" s="32">
        <v>0</v>
      </c>
      <c r="H495" s="32">
        <v>0</v>
      </c>
      <c r="I495" s="32">
        <v>0</v>
      </c>
      <c r="J495" s="95"/>
      <c r="K495"/>
    </row>
    <row r="496" spans="1:11">
      <c r="A496" s="19" t="s">
        <v>1261</v>
      </c>
      <c r="B496" s="19" t="s">
        <v>1054</v>
      </c>
      <c r="C496" s="19" t="s">
        <v>234</v>
      </c>
      <c r="D496" s="19"/>
      <c r="E496" s="32">
        <v>0</v>
      </c>
      <c r="F496" s="32">
        <v>0</v>
      </c>
      <c r="G496" s="32">
        <v>0</v>
      </c>
      <c r="H496" s="32">
        <v>0</v>
      </c>
      <c r="I496" s="32">
        <v>0</v>
      </c>
      <c r="J496" s="95"/>
      <c r="K496"/>
    </row>
    <row r="497" spans="1:11" ht="15.75" thickBot="1">
      <c r="A497" s="19"/>
      <c r="B497" s="19"/>
      <c r="C497" s="19" t="s">
        <v>821</v>
      </c>
      <c r="D497" s="19"/>
      <c r="E497" s="185">
        <f>SUM(E491:E496)</f>
        <v>3106</v>
      </c>
      <c r="F497" s="185">
        <f t="shared" ref="F497:I497" si="90">SUM(F491:F496)</f>
        <v>0</v>
      </c>
      <c r="G497" s="185">
        <f t="shared" si="90"/>
        <v>3218.05</v>
      </c>
      <c r="H497" s="185">
        <f t="shared" si="90"/>
        <v>2396.3318890151518</v>
      </c>
      <c r="I497" s="185">
        <f t="shared" si="90"/>
        <v>3142.06</v>
      </c>
      <c r="J497" s="95"/>
      <c r="K497"/>
    </row>
    <row r="498" spans="1:11" ht="15.75" thickTop="1">
      <c r="A498" s="19"/>
      <c r="B498" s="19"/>
      <c r="D498" s="19"/>
      <c r="E498" s="20"/>
      <c r="F498" s="20"/>
      <c r="G498" s="20"/>
      <c r="I498" s="20"/>
      <c r="J498" s="168"/>
    </row>
    <row r="499" spans="1:11" s="3" customFormat="1" ht="15.75" thickBot="1">
      <c r="A499" s="41"/>
      <c r="B499" s="41"/>
      <c r="C499" s="18" t="s">
        <v>814</v>
      </c>
      <c r="D499" s="41"/>
      <c r="E499" s="171">
        <f>E488+E497</f>
        <v>44866</v>
      </c>
      <c r="F499" s="171">
        <f>F488+F497</f>
        <v>0</v>
      </c>
      <c r="G499" s="171">
        <f>G488+G497</f>
        <v>38750.15</v>
      </c>
      <c r="H499" s="171">
        <f>H488+H497</f>
        <v>40889.440222348487</v>
      </c>
      <c r="I499" s="171">
        <f>I488+I497</f>
        <v>47422.06</v>
      </c>
      <c r="J499" s="164"/>
    </row>
    <row r="500" spans="1:11" ht="15.75" thickTop="1">
      <c r="A500" s="19"/>
      <c r="B500" s="19"/>
      <c r="D500" s="19"/>
      <c r="E500" s="20"/>
      <c r="F500" s="20"/>
      <c r="G500" s="20"/>
      <c r="I500" s="20"/>
      <c r="J500" s="168"/>
    </row>
    <row r="501" spans="1:11">
      <c r="A501" s="19"/>
      <c r="B501" s="19"/>
      <c r="C501" s="19" t="s">
        <v>207</v>
      </c>
      <c r="D501" s="19"/>
      <c r="E501" s="20"/>
      <c r="F501" s="20"/>
      <c r="G501" s="20"/>
      <c r="I501" s="20"/>
      <c r="J501" s="168"/>
    </row>
    <row r="502" spans="1:11">
      <c r="A502" s="19" t="s">
        <v>1017</v>
      </c>
      <c r="B502" s="19" t="s">
        <v>1054</v>
      </c>
      <c r="C502" s="19" t="s">
        <v>316</v>
      </c>
      <c r="D502" s="19"/>
      <c r="E502" s="32">
        <v>6000</v>
      </c>
      <c r="F502" s="32">
        <v>0</v>
      </c>
      <c r="G502" s="32">
        <v>1345.82</v>
      </c>
      <c r="H502" s="32">
        <f>(G502/11)*12</f>
        <v>1468.1672727272726</v>
      </c>
      <c r="I502" s="32">
        <v>5000</v>
      </c>
      <c r="J502" s="95"/>
      <c r="K502"/>
    </row>
    <row r="503" spans="1:11">
      <c r="A503" s="19" t="s">
        <v>342</v>
      </c>
      <c r="B503" s="19" t="s">
        <v>1054</v>
      </c>
      <c r="C503" s="19" t="s">
        <v>338</v>
      </c>
      <c r="D503" s="19"/>
      <c r="E503" s="32">
        <v>10000</v>
      </c>
      <c r="F503" s="32">
        <v>0</v>
      </c>
      <c r="G503" s="32">
        <v>2505.6</v>
      </c>
      <c r="H503" s="32">
        <f>(G503/11)*12</f>
        <v>2733.3818181818183</v>
      </c>
      <c r="I503" s="32">
        <v>5000</v>
      </c>
      <c r="J503" s="95"/>
      <c r="K503"/>
    </row>
    <row r="504" spans="1:11" s="3" customFormat="1" ht="15.75" thickBot="1">
      <c r="A504" s="41"/>
      <c r="B504" s="41"/>
      <c r="C504" s="41" t="s">
        <v>815</v>
      </c>
      <c r="D504" s="41"/>
      <c r="E504" s="167">
        <f>SUM(E502:E503)</f>
        <v>16000</v>
      </c>
      <c r="F504" s="167">
        <f t="shared" ref="F504:I504" si="91">SUM(F502:F503)</f>
        <v>0</v>
      </c>
      <c r="G504" s="167">
        <f t="shared" si="91"/>
        <v>3851.42</v>
      </c>
      <c r="H504" s="167">
        <f t="shared" si="91"/>
        <v>4201.5490909090913</v>
      </c>
      <c r="I504" s="167">
        <f t="shared" si="91"/>
        <v>10000</v>
      </c>
      <c r="J504" s="164"/>
    </row>
    <row r="505" spans="1:11" ht="15.75" thickTop="1">
      <c r="A505" s="19"/>
      <c r="B505" s="19"/>
      <c r="C505" s="19"/>
      <c r="D505" s="19"/>
      <c r="E505" s="20"/>
      <c r="F505" s="20"/>
      <c r="G505" s="20"/>
      <c r="I505" s="20"/>
      <c r="J505" s="168"/>
    </row>
    <row r="506" spans="1:11">
      <c r="A506" s="19"/>
      <c r="B506" s="19"/>
      <c r="C506" s="19" t="s">
        <v>210</v>
      </c>
      <c r="D506" s="19"/>
      <c r="E506" s="20"/>
      <c r="F506" s="20"/>
      <c r="G506" s="20"/>
      <c r="I506" s="20"/>
      <c r="J506" s="95"/>
      <c r="K506"/>
    </row>
    <row r="507" spans="1:11">
      <c r="A507" s="19" t="s">
        <v>1238</v>
      </c>
      <c r="B507" s="19" t="s">
        <v>1054</v>
      </c>
      <c r="C507" s="19" t="s">
        <v>247</v>
      </c>
      <c r="D507" s="19"/>
      <c r="E507" s="32">
        <v>0</v>
      </c>
      <c r="F507" s="32">
        <v>0</v>
      </c>
      <c r="G507" s="32"/>
      <c r="H507" s="32"/>
      <c r="I507" s="32"/>
      <c r="J507" s="95"/>
      <c r="K507"/>
    </row>
    <row r="508" spans="1:11">
      <c r="A508" s="19" t="s">
        <v>347</v>
      </c>
      <c r="B508" s="19"/>
      <c r="C508" s="175" t="s">
        <v>1262</v>
      </c>
      <c r="D508" s="19"/>
      <c r="E508" s="32">
        <v>500</v>
      </c>
      <c r="F508" s="32">
        <v>0</v>
      </c>
      <c r="G508" s="32">
        <v>9323.94</v>
      </c>
      <c r="H508" s="32">
        <f>(G508/11)*12</f>
        <v>10171.570909090909</v>
      </c>
      <c r="I508" s="32">
        <v>10480</v>
      </c>
      <c r="J508" s="95"/>
      <c r="K508"/>
    </row>
    <row r="509" spans="1:11">
      <c r="A509" s="19" t="s">
        <v>1028</v>
      </c>
      <c r="B509" s="19"/>
      <c r="C509" s="175" t="s">
        <v>1255</v>
      </c>
      <c r="D509" s="19"/>
      <c r="E509" s="32">
        <v>0</v>
      </c>
      <c r="F509" s="32">
        <v>0</v>
      </c>
      <c r="G509" s="32">
        <v>1438.84</v>
      </c>
      <c r="H509" s="93">
        <f>(G509/11)*12</f>
        <v>1569.6436363636362</v>
      </c>
      <c r="I509" s="32">
        <v>1620</v>
      </c>
      <c r="J509" s="95"/>
      <c r="K509"/>
    </row>
    <row r="510" spans="1:11">
      <c r="A510" s="19" t="s">
        <v>348</v>
      </c>
      <c r="B510" s="19"/>
      <c r="C510" s="19" t="s">
        <v>343</v>
      </c>
      <c r="D510" s="19"/>
      <c r="E510" s="32">
        <v>12000</v>
      </c>
      <c r="F510" s="32">
        <v>0</v>
      </c>
      <c r="G510" s="32">
        <v>22580.400000000001</v>
      </c>
      <c r="H510" s="93">
        <f>(G510/11)*12</f>
        <v>24633.163636363639</v>
      </c>
      <c r="I510" s="32">
        <v>20000</v>
      </c>
      <c r="J510" s="95"/>
      <c r="K510"/>
    </row>
    <row r="511" spans="1:11">
      <c r="A511" s="19" t="s">
        <v>349</v>
      </c>
      <c r="B511" s="19"/>
      <c r="C511" s="19" t="s">
        <v>299</v>
      </c>
      <c r="D511" s="19"/>
      <c r="E511" s="32">
        <v>2500</v>
      </c>
      <c r="F511" s="32">
        <v>0</v>
      </c>
      <c r="G511" s="32">
        <v>2284.5</v>
      </c>
      <c r="H511" s="32">
        <v>2285</v>
      </c>
      <c r="I511" s="32">
        <v>2500</v>
      </c>
      <c r="J511" s="95"/>
      <c r="K511"/>
    </row>
    <row r="512" spans="1:11">
      <c r="A512" s="19" t="s">
        <v>344</v>
      </c>
      <c r="B512" s="19"/>
      <c r="C512" s="19" t="s">
        <v>345</v>
      </c>
      <c r="D512" s="19"/>
      <c r="E512" s="32">
        <v>20000</v>
      </c>
      <c r="F512" s="32">
        <v>0</v>
      </c>
      <c r="G512" s="32">
        <v>18617.509999999998</v>
      </c>
      <c r="H512" s="32">
        <f>(G512/11)*12</f>
        <v>20310.010909090906</v>
      </c>
      <c r="I512" s="32">
        <v>17000</v>
      </c>
      <c r="J512" s="95"/>
      <c r="K512"/>
    </row>
    <row r="513" spans="1:11" s="3" customFormat="1" ht="15.75" thickBot="1">
      <c r="A513" s="41"/>
      <c r="B513" s="41"/>
      <c r="C513" s="41" t="s">
        <v>839</v>
      </c>
      <c r="D513" s="41"/>
      <c r="E513" s="167">
        <f>SUM(E507:E512)</f>
        <v>35000</v>
      </c>
      <c r="F513" s="167">
        <f t="shared" ref="F513:I513" si="92">SUM(F507:F512)</f>
        <v>0</v>
      </c>
      <c r="G513" s="167">
        <f t="shared" si="92"/>
        <v>54245.19</v>
      </c>
      <c r="H513" s="167">
        <f t="shared" si="92"/>
        <v>58969.389090909099</v>
      </c>
      <c r="I513" s="167">
        <f t="shared" si="92"/>
        <v>51600</v>
      </c>
      <c r="J513" s="164"/>
    </row>
    <row r="514" spans="1:11" ht="15.75" thickTop="1">
      <c r="A514" s="19"/>
      <c r="B514" s="19"/>
      <c r="C514" s="19"/>
      <c r="D514" s="19"/>
      <c r="E514" s="20"/>
      <c r="F514" s="20"/>
      <c r="G514" s="20"/>
      <c r="I514" s="20"/>
      <c r="J514" s="168"/>
    </row>
    <row r="515" spans="1:11">
      <c r="A515" s="19"/>
      <c r="B515" s="19"/>
      <c r="C515" s="19" t="s">
        <v>212</v>
      </c>
      <c r="D515" s="19"/>
      <c r="E515" s="20"/>
      <c r="F515" s="20"/>
      <c r="G515" s="20"/>
      <c r="I515" s="20"/>
      <c r="J515" s="168"/>
    </row>
    <row r="516" spans="1:11">
      <c r="A516" s="19" t="s">
        <v>350</v>
      </c>
      <c r="B516" s="19"/>
      <c r="C516" s="19" t="s">
        <v>271</v>
      </c>
      <c r="D516" s="19"/>
      <c r="E516" s="32">
        <v>1500</v>
      </c>
      <c r="F516" s="32">
        <v>0</v>
      </c>
      <c r="G516" s="32">
        <v>1499.48</v>
      </c>
      <c r="H516" s="32">
        <f>(G516/11)*12</f>
        <v>1635.7963636363636</v>
      </c>
      <c r="I516" s="32">
        <v>750</v>
      </c>
      <c r="J516" s="95"/>
      <c r="K516"/>
    </row>
    <row r="517" spans="1:11">
      <c r="A517" s="19" t="s">
        <v>351</v>
      </c>
      <c r="B517" s="19"/>
      <c r="C517" s="19" t="s">
        <v>1128</v>
      </c>
      <c r="D517" s="19"/>
      <c r="E517" s="32">
        <v>20000</v>
      </c>
      <c r="F517" s="32">
        <v>0</v>
      </c>
      <c r="G517" s="32">
        <v>20861.259999999998</v>
      </c>
      <c r="H517" s="32">
        <f>(G517/11)*12</f>
        <v>22757.738181818178</v>
      </c>
      <c r="I517" s="32">
        <v>20000</v>
      </c>
      <c r="J517" s="95"/>
      <c r="K517"/>
    </row>
    <row r="518" spans="1:11">
      <c r="A518" s="19" t="s">
        <v>1078</v>
      </c>
      <c r="B518" s="19" t="s">
        <v>1054</v>
      </c>
      <c r="C518" s="19" t="s">
        <v>1071</v>
      </c>
      <c r="D518" s="19"/>
      <c r="E518" s="32">
        <v>800</v>
      </c>
      <c r="F518" s="32">
        <v>0</v>
      </c>
      <c r="G518" s="32">
        <v>579.66</v>
      </c>
      <c r="H518" s="32">
        <f>(G518/11)*12</f>
        <v>632.35636363636365</v>
      </c>
      <c r="I518" s="32">
        <v>800</v>
      </c>
      <c r="J518" s="95"/>
      <c r="K518"/>
    </row>
    <row r="519" spans="1:11">
      <c r="A519" s="19" t="s">
        <v>1121</v>
      </c>
      <c r="B519" s="19" t="s">
        <v>1054</v>
      </c>
      <c r="C519" s="19" t="s">
        <v>353</v>
      </c>
      <c r="D519" s="19"/>
      <c r="E519" s="32">
        <v>10000</v>
      </c>
      <c r="F519" s="32">
        <v>0</v>
      </c>
      <c r="G519" s="32">
        <v>12168.89</v>
      </c>
      <c r="H519" s="32">
        <v>12168.89</v>
      </c>
      <c r="I519" s="32">
        <v>10000</v>
      </c>
      <c r="J519" s="95"/>
      <c r="K519"/>
    </row>
    <row r="520" spans="1:11">
      <c r="A520" s="19" t="s">
        <v>352</v>
      </c>
      <c r="B520" s="19"/>
      <c r="C520" s="19" t="s">
        <v>273</v>
      </c>
      <c r="D520" s="19"/>
      <c r="E520" s="32">
        <v>5000</v>
      </c>
      <c r="F520" s="32">
        <v>0</v>
      </c>
      <c r="G520" s="32">
        <v>2251.7199999999998</v>
      </c>
      <c r="H520" s="32">
        <f>(G520/11)*12</f>
        <v>2456.4218181818178</v>
      </c>
      <c r="I520" s="32">
        <v>3000</v>
      </c>
      <c r="J520" s="95"/>
      <c r="K520"/>
    </row>
    <row r="521" spans="1:11" s="3" customFormat="1" ht="15.75" thickBot="1">
      <c r="A521" s="41"/>
      <c r="B521" s="41"/>
      <c r="C521" s="41" t="s">
        <v>817</v>
      </c>
      <c r="D521" s="41"/>
      <c r="E521" s="167">
        <f>SUM(E516:E520)</f>
        <v>37300</v>
      </c>
      <c r="F521" s="167">
        <f>SUM(F516:F520)</f>
        <v>0</v>
      </c>
      <c r="G521" s="167">
        <f>SUM(G516:G520)</f>
        <v>37361.009999999995</v>
      </c>
      <c r="H521" s="167">
        <f>SUM(H516:H520)</f>
        <v>39651.202727272728</v>
      </c>
      <c r="I521" s="167">
        <f>SUM(I516:I520)</f>
        <v>34550</v>
      </c>
      <c r="J521" s="164"/>
    </row>
    <row r="522" spans="1:11" ht="15.75" thickTop="1">
      <c r="A522" s="19"/>
      <c r="B522" s="19"/>
      <c r="C522" s="19"/>
      <c r="D522" s="19"/>
      <c r="E522" s="20"/>
      <c r="F522" s="20"/>
      <c r="G522" s="20"/>
      <c r="I522" s="20"/>
      <c r="J522" s="168"/>
    </row>
    <row r="523" spans="1:11">
      <c r="A523" s="19"/>
      <c r="B523" s="19"/>
      <c r="C523" s="19" t="s">
        <v>223</v>
      </c>
      <c r="D523" s="19"/>
      <c r="E523" s="20"/>
      <c r="F523" s="20"/>
      <c r="G523" s="20"/>
      <c r="I523" s="20"/>
      <c r="J523" s="95"/>
      <c r="K523"/>
    </row>
    <row r="524" spans="1:11">
      <c r="A524" s="19" t="s">
        <v>355</v>
      </c>
      <c r="B524" s="19"/>
      <c r="C524" s="19" t="s">
        <v>354</v>
      </c>
      <c r="D524" s="19"/>
      <c r="E524" s="32">
        <v>10000</v>
      </c>
      <c r="F524" s="32">
        <v>0</v>
      </c>
      <c r="G524" s="32">
        <v>8880.4599999999991</v>
      </c>
      <c r="H524" s="32">
        <f>(G524/11)*12</f>
        <v>9687.7745454545438</v>
      </c>
      <c r="I524" s="32">
        <v>10000</v>
      </c>
      <c r="J524" s="95"/>
      <c r="K524"/>
    </row>
    <row r="525" spans="1:11" s="3" customFormat="1" ht="15.75" thickBot="1">
      <c r="A525" s="41"/>
      <c r="B525" s="41"/>
      <c r="C525" s="41" t="s">
        <v>822</v>
      </c>
      <c r="D525" s="41"/>
      <c r="E525" s="167">
        <f>SUM(E524)</f>
        <v>10000</v>
      </c>
      <c r="F525" s="167">
        <f t="shared" ref="F525:I525" si="93">SUM(F524)</f>
        <v>0</v>
      </c>
      <c r="G525" s="167">
        <f t="shared" si="93"/>
        <v>8880.4599999999991</v>
      </c>
      <c r="H525" s="167">
        <f t="shared" si="93"/>
        <v>9687.7745454545438</v>
      </c>
      <c r="I525" s="167">
        <f t="shared" si="93"/>
        <v>10000</v>
      </c>
      <c r="J525" s="164"/>
    </row>
    <row r="526" spans="1:11" ht="15.75" thickTop="1">
      <c r="A526" s="19"/>
      <c r="B526" s="19"/>
      <c r="C526" s="19"/>
      <c r="D526" s="19"/>
      <c r="E526" s="20"/>
      <c r="F526" s="20"/>
      <c r="G526" s="20"/>
      <c r="I526" s="20"/>
      <c r="J526" s="95"/>
      <c r="K526"/>
    </row>
    <row r="527" spans="1:11">
      <c r="A527" s="19" t="s">
        <v>13</v>
      </c>
      <c r="B527" s="19"/>
      <c r="C527" s="19" t="s">
        <v>1061</v>
      </c>
      <c r="D527" s="19"/>
      <c r="E527" s="93" t="s">
        <v>13</v>
      </c>
      <c r="F527" s="93" t="s">
        <v>13</v>
      </c>
      <c r="G527" s="93" t="s">
        <v>13</v>
      </c>
      <c r="H527" s="93" t="s">
        <v>13</v>
      </c>
      <c r="I527" s="93" t="s">
        <v>13</v>
      </c>
      <c r="J527" s="179"/>
      <c r="K527" s="19"/>
    </row>
    <row r="528" spans="1:11">
      <c r="A528" s="19" t="s">
        <v>1079</v>
      </c>
      <c r="B528" s="19" t="s">
        <v>1054</v>
      </c>
      <c r="C528" s="19" t="s">
        <v>346</v>
      </c>
      <c r="D528" s="19"/>
      <c r="E528" s="32">
        <v>500</v>
      </c>
      <c r="F528" s="32">
        <v>0</v>
      </c>
      <c r="G528" s="32">
        <v>419.16</v>
      </c>
      <c r="H528" s="32">
        <f>(G528/11)*12</f>
        <v>457.26545454545459</v>
      </c>
      <c r="I528" s="32">
        <v>0</v>
      </c>
      <c r="J528" s="95" t="s">
        <v>1042</v>
      </c>
      <c r="K528"/>
    </row>
    <row r="529" spans="1:11">
      <c r="A529" s="19" t="s">
        <v>1080</v>
      </c>
      <c r="B529" s="19" t="s">
        <v>1054</v>
      </c>
      <c r="C529" s="19" t="s">
        <v>318</v>
      </c>
      <c r="D529" s="19"/>
      <c r="E529" s="32">
        <v>1000</v>
      </c>
      <c r="F529" s="32">
        <v>0</v>
      </c>
      <c r="G529" s="32">
        <v>1442.22</v>
      </c>
      <c r="H529" s="32">
        <f t="shared" ref="H529:H530" si="94">(G529/11)*12</f>
        <v>1573.3309090909092</v>
      </c>
      <c r="I529" s="32">
        <v>1500</v>
      </c>
      <c r="J529" s="95"/>
      <c r="K529"/>
    </row>
    <row r="530" spans="1:11">
      <c r="A530" s="19" t="s">
        <v>1081</v>
      </c>
      <c r="B530" s="19" t="s">
        <v>1054</v>
      </c>
      <c r="C530" s="19" t="s">
        <v>323</v>
      </c>
      <c r="D530" s="19"/>
      <c r="E530" s="32">
        <v>1000</v>
      </c>
      <c r="F530" s="32">
        <v>0</v>
      </c>
      <c r="G530" s="32">
        <v>591.76</v>
      </c>
      <c r="H530" s="32">
        <f t="shared" si="94"/>
        <v>645.55636363636359</v>
      </c>
      <c r="I530" s="32">
        <v>1000</v>
      </c>
      <c r="J530" s="95" t="s">
        <v>786</v>
      </c>
      <c r="K530"/>
    </row>
    <row r="531" spans="1:11" s="3" customFormat="1" ht="15.75" thickBot="1">
      <c r="A531" s="41"/>
      <c r="B531" s="41"/>
      <c r="C531" s="41" t="s">
        <v>1060</v>
      </c>
      <c r="D531" s="41"/>
      <c r="E531" s="177">
        <f>SUM(E528:E530)</f>
        <v>2500</v>
      </c>
      <c r="F531" s="177">
        <f t="shared" ref="F531:I531" si="95">SUM(F528:F530)</f>
        <v>0</v>
      </c>
      <c r="G531" s="177">
        <f t="shared" si="95"/>
        <v>2453.1400000000003</v>
      </c>
      <c r="H531" s="177">
        <f t="shared" si="95"/>
        <v>2676.1527272727271</v>
      </c>
      <c r="I531" s="177">
        <f t="shared" si="95"/>
        <v>2500</v>
      </c>
      <c r="J531" s="178"/>
    </row>
    <row r="532" spans="1:11" s="3" customFormat="1" ht="15.75" thickTop="1">
      <c r="A532" s="41"/>
      <c r="B532" s="41"/>
      <c r="C532" s="41"/>
      <c r="D532" s="41"/>
      <c r="E532" s="197"/>
      <c r="F532" s="197"/>
      <c r="G532" s="197"/>
      <c r="H532" s="197"/>
      <c r="I532" s="197"/>
      <c r="J532" s="178"/>
    </row>
    <row r="533" spans="1:11">
      <c r="A533" s="19"/>
      <c r="B533" s="19"/>
      <c r="C533" s="19" t="s">
        <v>32</v>
      </c>
      <c r="D533" s="19"/>
      <c r="E533" s="20"/>
      <c r="F533" s="20"/>
      <c r="G533" s="20"/>
      <c r="I533" s="20"/>
      <c r="J533" s="168"/>
    </row>
    <row r="534" spans="1:11">
      <c r="A534" s="19" t="s">
        <v>448</v>
      </c>
      <c r="B534" s="19"/>
      <c r="C534" s="19" t="s">
        <v>356</v>
      </c>
      <c r="D534" s="19"/>
      <c r="E534" s="32">
        <v>0</v>
      </c>
      <c r="F534" s="32">
        <v>0</v>
      </c>
      <c r="G534" s="32">
        <v>34121</v>
      </c>
      <c r="H534" s="32">
        <v>34121</v>
      </c>
      <c r="I534" s="32">
        <v>0</v>
      </c>
      <c r="J534" s="95" t="s">
        <v>1043</v>
      </c>
      <c r="K534" s="32"/>
    </row>
    <row r="535" spans="1:11">
      <c r="A535" s="19" t="s">
        <v>706</v>
      </c>
      <c r="B535" s="19"/>
      <c r="C535" s="19" t="s">
        <v>707</v>
      </c>
      <c r="D535" s="19"/>
      <c r="E535" s="32">
        <v>157650</v>
      </c>
      <c r="F535" s="32">
        <v>0</v>
      </c>
      <c r="G535" s="32">
        <v>157650</v>
      </c>
      <c r="H535" s="32">
        <v>157650</v>
      </c>
      <c r="I535" s="32">
        <v>0</v>
      </c>
      <c r="J535" s="95" t="s">
        <v>1050</v>
      </c>
      <c r="K535" s="32"/>
    </row>
    <row r="536" spans="1:11">
      <c r="A536" s="19" t="s">
        <v>788</v>
      </c>
      <c r="B536" s="19"/>
      <c r="C536" s="19" t="s">
        <v>787</v>
      </c>
      <c r="D536" s="19"/>
      <c r="E536" s="32">
        <v>74766</v>
      </c>
      <c r="F536" s="32">
        <v>0</v>
      </c>
      <c r="G536" s="32">
        <v>70690.509999999995</v>
      </c>
      <c r="H536" s="32">
        <v>70690.509999999995</v>
      </c>
      <c r="I536" s="32">
        <v>0</v>
      </c>
      <c r="J536" s="95" t="s">
        <v>1050</v>
      </c>
      <c r="K536" s="32"/>
    </row>
    <row r="537" spans="1:11" s="3" customFormat="1" ht="15.75" thickBot="1">
      <c r="A537" s="41"/>
      <c r="B537" s="41"/>
      <c r="C537" s="41" t="s">
        <v>841</v>
      </c>
      <c r="D537" s="41"/>
      <c r="E537" s="167">
        <f>SUM(E534:E536)</f>
        <v>232416</v>
      </c>
      <c r="F537" s="167">
        <f t="shared" ref="F537:I537" si="96">SUM(F534:F536)</f>
        <v>0</v>
      </c>
      <c r="G537" s="167">
        <f t="shared" si="96"/>
        <v>262461.51</v>
      </c>
      <c r="H537" s="167">
        <f t="shared" si="96"/>
        <v>262461.51</v>
      </c>
      <c r="I537" s="167">
        <f t="shared" si="96"/>
        <v>0</v>
      </c>
      <c r="J537" s="164"/>
    </row>
    <row r="538" spans="1:11" ht="15.75" thickTop="1">
      <c r="A538" s="19"/>
      <c r="B538" s="19"/>
      <c r="C538" s="19"/>
      <c r="D538" s="19"/>
      <c r="E538" s="20"/>
      <c r="F538" s="20"/>
      <c r="G538" s="20"/>
      <c r="I538" s="20"/>
      <c r="J538" s="168"/>
    </row>
    <row r="539" spans="1:11">
      <c r="A539" s="19"/>
      <c r="B539" s="19"/>
      <c r="C539" s="19" t="s">
        <v>37</v>
      </c>
      <c r="D539" s="19"/>
      <c r="E539" s="20"/>
      <c r="F539" s="20"/>
      <c r="G539" s="20"/>
      <c r="I539" s="20"/>
      <c r="J539" s="168"/>
    </row>
    <row r="540" spans="1:11">
      <c r="A540" s="19" t="s">
        <v>735</v>
      </c>
      <c r="B540" s="19"/>
      <c r="C540" s="19" t="s">
        <v>842</v>
      </c>
      <c r="D540" s="19"/>
      <c r="E540" s="32">
        <v>0</v>
      </c>
      <c r="F540" s="32">
        <v>0</v>
      </c>
      <c r="G540" s="32">
        <v>0</v>
      </c>
      <c r="H540" s="37">
        <v>0</v>
      </c>
      <c r="I540" s="32">
        <v>0</v>
      </c>
      <c r="J540" s="95"/>
      <c r="K540"/>
    </row>
    <row r="541" spans="1:11" s="3" customFormat="1" ht="15.75" thickBot="1">
      <c r="A541" s="41"/>
      <c r="B541" s="41"/>
      <c r="C541" s="41" t="s">
        <v>835</v>
      </c>
      <c r="D541" s="41"/>
      <c r="E541" s="167">
        <f>SUM(E540)</f>
        <v>0</v>
      </c>
      <c r="F541" s="167">
        <f t="shared" ref="F541:I541" si="97">SUM(F540)</f>
        <v>0</v>
      </c>
      <c r="G541" s="167">
        <f t="shared" si="97"/>
        <v>0</v>
      </c>
      <c r="H541" s="167">
        <f t="shared" si="97"/>
        <v>0</v>
      </c>
      <c r="I541" s="167">
        <f t="shared" si="97"/>
        <v>0</v>
      </c>
      <c r="J541" s="164"/>
    </row>
    <row r="542" spans="1:11" ht="15.75" thickTop="1">
      <c r="A542" s="19"/>
      <c r="B542" s="19"/>
      <c r="C542" s="19"/>
      <c r="D542" s="19"/>
      <c r="E542" s="20"/>
      <c r="F542" s="20"/>
      <c r="G542" s="20"/>
      <c r="I542" s="20"/>
      <c r="J542" s="95"/>
      <c r="K542"/>
    </row>
    <row r="543" spans="1:11" ht="15.75" thickBot="1">
      <c r="A543" s="19"/>
      <c r="B543" s="19"/>
      <c r="C543" s="41" t="s">
        <v>843</v>
      </c>
      <c r="D543" s="41"/>
      <c r="E543" s="171">
        <f>E499+E504+E513+E521+E525+E531+E537+E541</f>
        <v>378082</v>
      </c>
      <c r="F543" s="171">
        <f>F499+F504+F513+F521+F525+F531+F537+F541</f>
        <v>0</v>
      </c>
      <c r="G543" s="171">
        <f>G499+G504+G513+G521+G525+G531+G537+G541</f>
        <v>408002.88</v>
      </c>
      <c r="H543" s="171">
        <f>H499+H504+H513+H521+H525+H531+H537+H541</f>
        <v>418537.01840416668</v>
      </c>
      <c r="I543" s="171">
        <f>I499+I504+I513+I521+I525+I531+I537+I541</f>
        <v>156072.06</v>
      </c>
      <c r="J543" s="95"/>
      <c r="K543"/>
    </row>
    <row r="544" spans="1:11" ht="15.75" thickTop="1">
      <c r="A544" s="19"/>
      <c r="B544" s="19"/>
      <c r="C544" s="19"/>
      <c r="D544" s="19"/>
      <c r="E544" s="20"/>
      <c r="F544" s="20"/>
      <c r="G544" s="20"/>
      <c r="I544" s="20"/>
      <c r="J544" s="95"/>
      <c r="K544"/>
    </row>
    <row r="545" spans="1:11">
      <c r="A545" s="19"/>
      <c r="B545" s="19"/>
      <c r="C545" s="19"/>
      <c r="D545" s="19"/>
      <c r="E545" s="20"/>
      <c r="F545" s="20"/>
      <c r="G545" s="20"/>
      <c r="I545" s="20"/>
      <c r="J545" s="95"/>
      <c r="K545"/>
    </row>
    <row r="546" spans="1:11">
      <c r="A546" s="201" t="s">
        <v>730</v>
      </c>
      <c r="B546" s="201"/>
      <c r="C546" s="201"/>
      <c r="D546" s="201"/>
      <c r="E546" s="201"/>
      <c r="F546" s="201"/>
      <c r="G546" s="201"/>
      <c r="H546" s="201"/>
      <c r="I546" s="201"/>
      <c r="J546" s="201"/>
      <c r="K546"/>
    </row>
    <row r="547" spans="1:11">
      <c r="A547" s="19" t="s">
        <v>13</v>
      </c>
      <c r="B547" s="19"/>
      <c r="C547" s="19" t="s">
        <v>204</v>
      </c>
      <c r="D547" s="19"/>
      <c r="E547" s="32" t="s">
        <v>13</v>
      </c>
      <c r="F547" s="32" t="s">
        <v>13</v>
      </c>
      <c r="G547" s="32" t="s">
        <v>13</v>
      </c>
      <c r="H547" s="37" t="s">
        <v>13</v>
      </c>
      <c r="I547" s="32" t="s">
        <v>13</v>
      </c>
      <c r="J547" s="95"/>
      <c r="K547"/>
    </row>
    <row r="548" spans="1:11">
      <c r="A548" s="19" t="s">
        <v>357</v>
      </c>
      <c r="B548" s="19"/>
      <c r="C548" s="19" t="s">
        <v>873</v>
      </c>
      <c r="D548" s="19"/>
      <c r="E548" s="32">
        <v>165000</v>
      </c>
      <c r="F548" s="32">
        <v>0</v>
      </c>
      <c r="G548" s="32">
        <v>121061.3</v>
      </c>
      <c r="H548" s="32">
        <f>(G548/24)*26</f>
        <v>131149.74166666667</v>
      </c>
      <c r="I548" s="32">
        <v>124000</v>
      </c>
      <c r="J548" s="95"/>
      <c r="K548"/>
    </row>
    <row r="549" spans="1:11">
      <c r="A549" s="19" t="s">
        <v>358</v>
      </c>
      <c r="B549" s="19"/>
      <c r="C549" s="19" t="s">
        <v>874</v>
      </c>
      <c r="D549" s="19"/>
      <c r="E549" s="32">
        <v>2000</v>
      </c>
      <c r="F549" s="32">
        <v>0</v>
      </c>
      <c r="G549" s="32">
        <v>1060.8</v>
      </c>
      <c r="H549" s="32">
        <f>(G549/24)*26</f>
        <v>1149.1999999999998</v>
      </c>
      <c r="I549" s="32">
        <v>2000</v>
      </c>
      <c r="J549" s="95"/>
      <c r="K549"/>
    </row>
    <row r="550" spans="1:11" ht="15.75" thickBot="1">
      <c r="A550" s="19" t="s">
        <v>13</v>
      </c>
      <c r="B550" s="19"/>
      <c r="C550" s="19" t="s">
        <v>820</v>
      </c>
      <c r="D550" s="19"/>
      <c r="E550" s="172">
        <f>SUM(E548:E549)</f>
        <v>167000</v>
      </c>
      <c r="F550" s="172">
        <f t="shared" ref="F550:I550" si="98">SUM(F548:F549)</f>
        <v>0</v>
      </c>
      <c r="G550" s="172">
        <f t="shared" si="98"/>
        <v>122122.1</v>
      </c>
      <c r="H550" s="172">
        <f t="shared" si="98"/>
        <v>132298.94166666668</v>
      </c>
      <c r="I550" s="172">
        <f t="shared" si="98"/>
        <v>126000</v>
      </c>
      <c r="J550" s="95"/>
      <c r="K550"/>
    </row>
    <row r="551" spans="1:11" ht="15.75" thickTop="1">
      <c r="A551" s="19"/>
      <c r="B551" s="19"/>
      <c r="C551" s="19"/>
      <c r="D551" s="19"/>
      <c r="E551" s="32"/>
      <c r="F551" s="32"/>
      <c r="G551" s="32"/>
      <c r="H551" s="37"/>
      <c r="I551" s="32"/>
      <c r="J551" s="95"/>
      <c r="K551"/>
    </row>
    <row r="552" spans="1:11">
      <c r="A552" s="19" t="s">
        <v>13</v>
      </c>
      <c r="B552" s="19"/>
      <c r="C552" s="19" t="s">
        <v>205</v>
      </c>
      <c r="D552" s="19"/>
      <c r="E552" s="32" t="s">
        <v>13</v>
      </c>
      <c r="F552" s="32" t="s">
        <v>13</v>
      </c>
      <c r="G552" s="32" t="s">
        <v>13</v>
      </c>
      <c r="H552" s="37" t="s">
        <v>13</v>
      </c>
      <c r="I552" s="32" t="s">
        <v>13</v>
      </c>
      <c r="J552" s="95"/>
      <c r="K552"/>
    </row>
    <row r="553" spans="1:11">
      <c r="A553" s="19" t="s">
        <v>1265</v>
      </c>
      <c r="B553" s="19" t="s">
        <v>1054</v>
      </c>
      <c r="C553" s="19" t="s">
        <v>227</v>
      </c>
      <c r="D553" s="19"/>
      <c r="E553" s="32">
        <v>0</v>
      </c>
      <c r="F553" s="32">
        <v>0</v>
      </c>
      <c r="G553" s="32">
        <v>0</v>
      </c>
      <c r="H553" s="32">
        <v>0</v>
      </c>
      <c r="I553" s="32">
        <v>0</v>
      </c>
      <c r="J553" s="95"/>
      <c r="K553"/>
    </row>
    <row r="554" spans="1:11">
      <c r="A554" s="19" t="s">
        <v>359</v>
      </c>
      <c r="B554" s="19"/>
      <c r="C554" s="19" t="s">
        <v>215</v>
      </c>
      <c r="D554" s="19"/>
      <c r="E554" s="32">
        <v>12776</v>
      </c>
      <c r="F554" s="32">
        <f>F550*0.0765</f>
        <v>0</v>
      </c>
      <c r="G554" s="32">
        <v>9333.1299999999992</v>
      </c>
      <c r="H554" s="37">
        <f>H550*0.0765</f>
        <v>10120.869037500001</v>
      </c>
      <c r="I554" s="37">
        <f>I550*0.0765</f>
        <v>9639</v>
      </c>
      <c r="J554" s="95"/>
      <c r="K554"/>
    </row>
    <row r="555" spans="1:11">
      <c r="A555" s="19" t="s">
        <v>1263</v>
      </c>
      <c r="B555" s="19" t="s">
        <v>1054</v>
      </c>
      <c r="C555" s="19" t="s">
        <v>231</v>
      </c>
      <c r="D555" s="19"/>
      <c r="E555" s="32">
        <v>0</v>
      </c>
      <c r="F555" s="32">
        <v>0</v>
      </c>
      <c r="G555" s="32">
        <v>0</v>
      </c>
      <c r="H555" s="32">
        <v>0</v>
      </c>
      <c r="I555" s="32">
        <v>0</v>
      </c>
      <c r="J555" s="95"/>
      <c r="K555"/>
    </row>
    <row r="556" spans="1:11">
      <c r="A556" s="19" t="s">
        <v>1224</v>
      </c>
      <c r="B556" s="19" t="s">
        <v>1054</v>
      </c>
      <c r="C556" s="19" t="s">
        <v>1219</v>
      </c>
      <c r="D556" s="19"/>
      <c r="E556" s="32">
        <v>0</v>
      </c>
      <c r="F556" s="32">
        <v>0</v>
      </c>
      <c r="G556" s="32">
        <v>0</v>
      </c>
      <c r="H556" s="32">
        <v>0</v>
      </c>
      <c r="I556" s="32">
        <v>0</v>
      </c>
      <c r="J556" s="95"/>
      <c r="K556"/>
    </row>
    <row r="557" spans="1:11">
      <c r="A557" s="19" t="s">
        <v>1264</v>
      </c>
      <c r="B557" s="19" t="s">
        <v>1054</v>
      </c>
      <c r="C557" s="19" t="s">
        <v>234</v>
      </c>
      <c r="D557" s="19"/>
      <c r="E557" s="32">
        <v>0</v>
      </c>
      <c r="F557" s="32">
        <v>0</v>
      </c>
      <c r="G557" s="32">
        <v>0</v>
      </c>
      <c r="H557" s="32">
        <v>0</v>
      </c>
      <c r="I557" s="32">
        <v>0</v>
      </c>
      <c r="J557" s="95"/>
      <c r="K557"/>
    </row>
    <row r="558" spans="1:11" ht="15.75" thickBot="1">
      <c r="A558" s="19"/>
      <c r="B558" s="19"/>
      <c r="C558" s="19" t="s">
        <v>821</v>
      </c>
      <c r="D558" s="19"/>
      <c r="E558" s="172">
        <f>SUM(E553:E557)</f>
        <v>12776</v>
      </c>
      <c r="F558" s="172">
        <f t="shared" ref="F558:I558" si="99">SUM(F553:F557)</f>
        <v>0</v>
      </c>
      <c r="G558" s="172">
        <f t="shared" si="99"/>
        <v>9333.1299999999992</v>
      </c>
      <c r="H558" s="172">
        <f t="shared" si="99"/>
        <v>10120.869037500001</v>
      </c>
      <c r="I558" s="172">
        <f t="shared" si="99"/>
        <v>9639</v>
      </c>
      <c r="J558" s="95"/>
      <c r="K558"/>
    </row>
    <row r="559" spans="1:11" ht="15.75" thickTop="1">
      <c r="A559" s="19"/>
      <c r="B559" s="19"/>
      <c r="C559" s="19"/>
      <c r="D559" s="19"/>
      <c r="E559" s="20"/>
      <c r="F559" s="20"/>
      <c r="G559" s="20"/>
      <c r="I559" s="20"/>
      <c r="J559" s="95"/>
      <c r="K559"/>
    </row>
    <row r="560" spans="1:11" s="3" customFormat="1" ht="15.75" thickBot="1">
      <c r="A560" s="41"/>
      <c r="B560" s="41"/>
      <c r="C560" s="41" t="s">
        <v>814</v>
      </c>
      <c r="D560" s="41"/>
      <c r="E560" s="171">
        <f>E550+E558</f>
        <v>179776</v>
      </c>
      <c r="F560" s="171">
        <f t="shared" ref="F560:I560" si="100">F550+F558</f>
        <v>0</v>
      </c>
      <c r="G560" s="171">
        <f t="shared" si="100"/>
        <v>131455.23000000001</v>
      </c>
      <c r="H560" s="171">
        <f t="shared" si="100"/>
        <v>142419.81070416668</v>
      </c>
      <c r="I560" s="171">
        <f t="shared" si="100"/>
        <v>135639</v>
      </c>
      <c r="J560" s="164"/>
    </row>
    <row r="561" spans="1:11" ht="15.75" thickTop="1">
      <c r="A561" s="19"/>
      <c r="B561" s="19"/>
      <c r="C561" s="19"/>
      <c r="D561" s="19"/>
      <c r="E561" s="20"/>
      <c r="F561" s="20"/>
      <c r="G561" s="20"/>
      <c r="I561" s="20"/>
      <c r="J561" s="168"/>
    </row>
    <row r="562" spans="1:11">
      <c r="A562" s="19"/>
      <c r="B562" s="19"/>
      <c r="C562" s="19" t="s">
        <v>207</v>
      </c>
      <c r="D562" s="19"/>
      <c r="E562" s="20"/>
      <c r="F562" s="20"/>
      <c r="G562" s="20"/>
      <c r="I562" s="20"/>
      <c r="J562" s="168"/>
    </row>
    <row r="563" spans="1:11">
      <c r="A563" s="19" t="s">
        <v>1018</v>
      </c>
      <c r="B563" s="19" t="s">
        <v>1054</v>
      </c>
      <c r="C563" s="19" t="s">
        <v>316</v>
      </c>
      <c r="D563" s="19"/>
      <c r="E563" s="32">
        <v>3000</v>
      </c>
      <c r="F563" s="32">
        <v>0</v>
      </c>
      <c r="G563" s="32">
        <v>875</v>
      </c>
      <c r="H563" s="32">
        <v>875</v>
      </c>
      <c r="I563" s="32">
        <v>2000</v>
      </c>
      <c r="J563" s="95"/>
      <c r="K563"/>
    </row>
    <row r="564" spans="1:11" s="3" customFormat="1" ht="15.75" thickBot="1">
      <c r="A564" s="41"/>
      <c r="B564" s="41"/>
      <c r="C564" s="41" t="s">
        <v>815</v>
      </c>
      <c r="D564" s="41"/>
      <c r="E564" s="167">
        <f>SUM(E563)</f>
        <v>3000</v>
      </c>
      <c r="F564" s="167">
        <f t="shared" ref="F564:I564" si="101">SUM(F563)</f>
        <v>0</v>
      </c>
      <c r="G564" s="167">
        <f t="shared" si="101"/>
        <v>875</v>
      </c>
      <c r="H564" s="167">
        <f t="shared" si="101"/>
        <v>875</v>
      </c>
      <c r="I564" s="167">
        <f t="shared" si="101"/>
        <v>2000</v>
      </c>
      <c r="J564" s="164"/>
    </row>
    <row r="565" spans="1:11" ht="15.75" thickTop="1">
      <c r="A565" s="19"/>
      <c r="B565" s="19"/>
      <c r="C565" s="19"/>
      <c r="D565" s="19"/>
      <c r="E565" s="20"/>
      <c r="F565" s="20"/>
      <c r="G565" s="20"/>
      <c r="I565" s="20"/>
      <c r="J565" s="95"/>
      <c r="K565"/>
    </row>
    <row r="566" spans="1:11">
      <c r="A566" s="19" t="s">
        <v>13</v>
      </c>
      <c r="B566" s="19"/>
      <c r="C566" s="19" t="s">
        <v>210</v>
      </c>
      <c r="D566" s="19"/>
      <c r="E566" s="32" t="s">
        <v>13</v>
      </c>
      <c r="F566" s="32" t="s">
        <v>13</v>
      </c>
      <c r="G566" s="32"/>
      <c r="H566" s="37" t="s">
        <v>13</v>
      </c>
      <c r="I566" s="32" t="s">
        <v>13</v>
      </c>
      <c r="J566" s="168"/>
    </row>
    <row r="567" spans="1:11">
      <c r="A567" s="19" t="s">
        <v>1008</v>
      </c>
      <c r="B567" s="19"/>
      <c r="C567" s="19" t="s">
        <v>243</v>
      </c>
      <c r="D567" s="19"/>
      <c r="E567" s="32">
        <v>0</v>
      </c>
      <c r="F567" s="32">
        <v>0</v>
      </c>
      <c r="G567" s="32">
        <v>85</v>
      </c>
      <c r="H567" s="32">
        <f>(G567/11)*12</f>
        <v>92.727272727272734</v>
      </c>
      <c r="I567" s="32">
        <f>330+360</f>
        <v>690</v>
      </c>
      <c r="J567" s="95"/>
      <c r="K567"/>
    </row>
    <row r="568" spans="1:11">
      <c r="A568" s="19" t="s">
        <v>1239</v>
      </c>
      <c r="B568" s="19" t="s">
        <v>1054</v>
      </c>
      <c r="C568" s="19" t="s">
        <v>1232</v>
      </c>
      <c r="D568" s="19"/>
      <c r="E568" s="32">
        <v>0</v>
      </c>
      <c r="F568" s="32">
        <v>0</v>
      </c>
      <c r="G568" s="32"/>
      <c r="H568" s="32"/>
      <c r="I568" s="32"/>
      <c r="J568" s="95"/>
      <c r="K568"/>
    </row>
    <row r="569" spans="1:11">
      <c r="A569" s="19" t="s">
        <v>979</v>
      </c>
      <c r="B569" s="19"/>
      <c r="C569" s="19" t="s">
        <v>960</v>
      </c>
      <c r="D569" s="19"/>
      <c r="E569" s="32">
        <v>0</v>
      </c>
      <c r="F569" s="32">
        <v>0</v>
      </c>
      <c r="G569" s="32">
        <v>885.71</v>
      </c>
      <c r="H569" s="32">
        <v>885.71</v>
      </c>
      <c r="I569" s="32">
        <v>0</v>
      </c>
      <c r="J569" s="95"/>
      <c r="K569"/>
    </row>
    <row r="570" spans="1:11">
      <c r="A570" s="19" t="s">
        <v>1129</v>
      </c>
      <c r="B570" s="19" t="s">
        <v>1054</v>
      </c>
      <c r="C570" s="19" t="s">
        <v>360</v>
      </c>
      <c r="D570" s="19"/>
      <c r="E570" s="32">
        <v>30000</v>
      </c>
      <c r="F570" s="32">
        <v>0</v>
      </c>
      <c r="G570" s="32">
        <v>26556.04</v>
      </c>
      <c r="H570" s="32">
        <f>(G570/11)*12</f>
        <v>28970.225454545456</v>
      </c>
      <c r="I570" s="32">
        <v>29840</v>
      </c>
      <c r="J570" s="95"/>
      <c r="K570"/>
    </row>
    <row r="571" spans="1:11">
      <c r="A571" s="19" t="s">
        <v>1022</v>
      </c>
      <c r="B571" s="19"/>
      <c r="C571" s="19" t="s">
        <v>1023</v>
      </c>
      <c r="D571" s="19"/>
      <c r="E571" s="32">
        <v>0</v>
      </c>
      <c r="F571" s="32">
        <v>0</v>
      </c>
      <c r="G571" s="32">
        <v>1624.76</v>
      </c>
      <c r="H571" s="32">
        <f>(G571/11)*12</f>
        <v>1772.4654545454546</v>
      </c>
      <c r="I571" s="32">
        <v>1830</v>
      </c>
      <c r="J571" s="95"/>
      <c r="K571"/>
    </row>
    <row r="572" spans="1:11">
      <c r="A572" s="19" t="s">
        <v>687</v>
      </c>
      <c r="B572" s="19"/>
      <c r="C572" s="19" t="s">
        <v>262</v>
      </c>
      <c r="D572" s="19"/>
      <c r="E572" s="32">
        <v>0</v>
      </c>
      <c r="F572" s="32">
        <v>0</v>
      </c>
      <c r="G572" s="32">
        <v>636.17999999999995</v>
      </c>
      <c r="H572" s="32">
        <f t="shared" ref="H572:H575" si="102">(G572/11)*12</f>
        <v>694.01454545454544</v>
      </c>
      <c r="I572" s="32">
        <v>715</v>
      </c>
      <c r="J572" s="95"/>
      <c r="K572"/>
    </row>
    <row r="573" spans="1:11">
      <c r="A573" s="19" t="s">
        <v>1240</v>
      </c>
      <c r="B573" s="19" t="s">
        <v>1054</v>
      </c>
      <c r="C573" s="19" t="s">
        <v>251</v>
      </c>
      <c r="D573" s="19"/>
      <c r="E573" s="32">
        <v>0</v>
      </c>
      <c r="F573" s="32">
        <v>0</v>
      </c>
      <c r="G573" s="32"/>
      <c r="H573" s="32"/>
      <c r="I573" s="32"/>
      <c r="J573" s="95"/>
      <c r="K573"/>
    </row>
    <row r="574" spans="1:11">
      <c r="A574" s="19" t="s">
        <v>441</v>
      </c>
      <c r="B574" s="19"/>
      <c r="C574" s="19" t="s">
        <v>911</v>
      </c>
      <c r="D574" s="19"/>
      <c r="E574" s="32">
        <v>800</v>
      </c>
      <c r="F574" s="32">
        <v>0</v>
      </c>
      <c r="G574" s="32">
        <v>1230.4000000000001</v>
      </c>
      <c r="H574" s="32">
        <f t="shared" si="102"/>
        <v>1342.2545454545455</v>
      </c>
      <c r="I574" s="32">
        <v>975</v>
      </c>
      <c r="J574" s="95"/>
      <c r="K574"/>
    </row>
    <row r="575" spans="1:11">
      <c r="A575" s="19" t="s">
        <v>361</v>
      </c>
      <c r="B575" s="19" t="s">
        <v>1054</v>
      </c>
      <c r="C575" s="19" t="s">
        <v>1082</v>
      </c>
      <c r="D575" s="19"/>
      <c r="E575" s="32">
        <v>1000</v>
      </c>
      <c r="F575" s="32">
        <v>0</v>
      </c>
      <c r="G575" s="32">
        <v>150</v>
      </c>
      <c r="H575" s="32">
        <f t="shared" si="102"/>
        <v>163.63636363636363</v>
      </c>
      <c r="I575" s="32">
        <v>800</v>
      </c>
      <c r="J575" s="95"/>
      <c r="K575"/>
    </row>
    <row r="576" spans="1:11" s="3" customFormat="1" ht="15.75" thickBot="1">
      <c r="A576" s="41"/>
      <c r="B576" s="41"/>
      <c r="C576" s="41" t="s">
        <v>816</v>
      </c>
      <c r="D576" s="41"/>
      <c r="E576" s="167">
        <f>SUM(E567:E575)</f>
        <v>31800</v>
      </c>
      <c r="F576" s="167">
        <f>SUM(F567:F575)</f>
        <v>0</v>
      </c>
      <c r="G576" s="167">
        <f>SUM(G567:G575)</f>
        <v>31168.09</v>
      </c>
      <c r="H576" s="167">
        <f>SUM(H567:H575)</f>
        <v>33921.033636363631</v>
      </c>
      <c r="I576" s="167">
        <f>SUM(I567:I575)</f>
        <v>34850</v>
      </c>
      <c r="J576" s="164"/>
    </row>
    <row r="577" spans="1:11" ht="15.75" thickTop="1">
      <c r="A577" s="19"/>
      <c r="B577" s="19"/>
      <c r="C577" s="19"/>
      <c r="D577" s="19"/>
      <c r="E577" s="20"/>
      <c r="F577" s="20"/>
      <c r="G577" s="20"/>
      <c r="I577" s="20"/>
      <c r="J577" s="168"/>
    </row>
    <row r="578" spans="1:11">
      <c r="A578" s="19" t="s">
        <v>13</v>
      </c>
      <c r="B578" s="19"/>
      <c r="C578" s="19" t="s">
        <v>212</v>
      </c>
      <c r="D578" s="19"/>
      <c r="E578" s="32" t="s">
        <v>13</v>
      </c>
      <c r="F578" s="32" t="s">
        <v>13</v>
      </c>
      <c r="G578" s="32" t="s">
        <v>13</v>
      </c>
      <c r="H578" s="37" t="s">
        <v>13</v>
      </c>
      <c r="I578" s="32" t="s">
        <v>13</v>
      </c>
      <c r="J578" s="168"/>
    </row>
    <row r="579" spans="1:11">
      <c r="A579" s="19" t="s">
        <v>362</v>
      </c>
      <c r="B579" s="19" t="s">
        <v>1054</v>
      </c>
      <c r="C579" s="19" t="s">
        <v>942</v>
      </c>
      <c r="D579" s="19"/>
      <c r="E579" s="32">
        <v>20000</v>
      </c>
      <c r="F579" s="32">
        <v>0</v>
      </c>
      <c r="G579" s="32">
        <v>22591.89</v>
      </c>
      <c r="H579" s="32">
        <f t="shared" ref="H579:H583" si="103">(G579/11)*12</f>
        <v>24645.698181818181</v>
      </c>
      <c r="I579" s="32">
        <v>25000</v>
      </c>
      <c r="J579" s="95"/>
      <c r="K579"/>
    </row>
    <row r="580" spans="1:11">
      <c r="A580" s="19" t="s">
        <v>1083</v>
      </c>
      <c r="B580" s="19"/>
      <c r="C580" s="19" t="s">
        <v>363</v>
      </c>
      <c r="D580" s="19"/>
      <c r="E580" s="32">
        <v>5000</v>
      </c>
      <c r="F580" s="32">
        <v>0</v>
      </c>
      <c r="G580" s="32">
        <v>5565.9</v>
      </c>
      <c r="H580" s="32">
        <f t="shared" si="103"/>
        <v>6071.8909090909083</v>
      </c>
      <c r="I580" s="32">
        <v>500</v>
      </c>
      <c r="J580" s="95"/>
      <c r="K580"/>
    </row>
    <row r="581" spans="1:11">
      <c r="A581" s="19" t="s">
        <v>1084</v>
      </c>
      <c r="B581" s="19" t="s">
        <v>1054</v>
      </c>
      <c r="C581" s="19" t="s">
        <v>1071</v>
      </c>
      <c r="D581" s="19"/>
      <c r="E581" s="32">
        <v>3000</v>
      </c>
      <c r="F581" s="32">
        <v>0</v>
      </c>
      <c r="G581" s="32">
        <v>1929.1</v>
      </c>
      <c r="H581" s="32">
        <f t="shared" si="103"/>
        <v>2104.4727272727273</v>
      </c>
      <c r="I581" s="32">
        <v>4000</v>
      </c>
      <c r="J581" s="95"/>
      <c r="K581"/>
    </row>
    <row r="582" spans="1:11">
      <c r="A582" s="19" t="s">
        <v>1085</v>
      </c>
      <c r="B582" s="19" t="s">
        <v>1054</v>
      </c>
      <c r="C582" s="19" t="s">
        <v>364</v>
      </c>
      <c r="D582" s="19"/>
      <c r="E582" s="32">
        <v>16000</v>
      </c>
      <c r="F582" s="32">
        <v>0</v>
      </c>
      <c r="G582" s="32">
        <v>5344.89</v>
      </c>
      <c r="H582" s="32">
        <f t="shared" si="103"/>
        <v>5830.7890909090911</v>
      </c>
      <c r="I582" s="37">
        <v>8000</v>
      </c>
      <c r="J582" s="95"/>
      <c r="K582"/>
    </row>
    <row r="583" spans="1:11">
      <c r="A583" s="19" t="s">
        <v>366</v>
      </c>
      <c r="B583" s="19"/>
      <c r="C583" s="19" t="s">
        <v>36</v>
      </c>
      <c r="D583" s="19"/>
      <c r="E583" s="32">
        <v>1000</v>
      </c>
      <c r="F583" s="32">
        <v>0</v>
      </c>
      <c r="G583" s="32">
        <v>427.26</v>
      </c>
      <c r="H583" s="32">
        <f t="shared" si="103"/>
        <v>466.1018181818182</v>
      </c>
      <c r="I583" s="32">
        <v>500</v>
      </c>
      <c r="J583" s="95"/>
      <c r="K583"/>
    </row>
    <row r="584" spans="1:11" s="3" customFormat="1" ht="15.75" thickBot="1">
      <c r="A584" s="41"/>
      <c r="B584" s="41"/>
      <c r="C584" s="41" t="s">
        <v>817</v>
      </c>
      <c r="D584" s="41"/>
      <c r="E584" s="167">
        <f>SUM(E579:E583)</f>
        <v>45000</v>
      </c>
      <c r="F584" s="167">
        <f>SUM(F579:F583)</f>
        <v>0</v>
      </c>
      <c r="G584" s="167">
        <f>SUM(G579:G583)</f>
        <v>35859.040000000001</v>
      </c>
      <c r="H584" s="167">
        <f>SUM(H579:H583)</f>
        <v>39118.952727272728</v>
      </c>
      <c r="I584" s="167">
        <f>SUM(I579:I583)</f>
        <v>38000</v>
      </c>
      <c r="J584" s="164"/>
    </row>
    <row r="585" spans="1:11" ht="15.75" thickTop="1">
      <c r="A585" s="19"/>
      <c r="B585" s="19"/>
      <c r="C585" s="19"/>
      <c r="D585" s="19"/>
      <c r="E585" s="20"/>
      <c r="F585" s="20"/>
      <c r="G585" s="20"/>
      <c r="H585" s="20"/>
      <c r="I585" s="20"/>
      <c r="J585" s="168"/>
    </row>
    <row r="586" spans="1:11">
      <c r="A586" s="19"/>
      <c r="B586" s="19"/>
      <c r="C586" s="19" t="s">
        <v>223</v>
      </c>
      <c r="D586" s="19"/>
      <c r="E586" s="20"/>
      <c r="F586" s="20"/>
      <c r="G586" s="20"/>
      <c r="H586" s="20"/>
      <c r="I586" s="20"/>
      <c r="J586" s="168"/>
    </row>
    <row r="587" spans="1:11">
      <c r="A587" s="19" t="s">
        <v>1201</v>
      </c>
      <c r="B587" s="19" t="s">
        <v>1054</v>
      </c>
      <c r="C587" s="19" t="s">
        <v>1199</v>
      </c>
      <c r="D587" s="19"/>
      <c r="E587" s="32">
        <v>8000</v>
      </c>
      <c r="F587" s="32">
        <v>0</v>
      </c>
      <c r="G587" s="32">
        <v>13240.05</v>
      </c>
      <c r="H587" s="32">
        <f>(G587/11)*12</f>
        <v>14443.690909090907</v>
      </c>
      <c r="I587" s="32">
        <v>2500</v>
      </c>
      <c r="J587" s="168"/>
    </row>
    <row r="588" spans="1:11">
      <c r="A588" s="19" t="s">
        <v>442</v>
      </c>
      <c r="B588" s="19"/>
      <c r="C588" s="19" t="s">
        <v>325</v>
      </c>
      <c r="D588" s="19"/>
      <c r="E588" s="32">
        <v>8000</v>
      </c>
      <c r="F588" s="32">
        <v>0</v>
      </c>
      <c r="G588" s="32">
        <v>18210.37</v>
      </c>
      <c r="H588" s="32">
        <f>(G588/11)*12</f>
        <v>19865.858181818181</v>
      </c>
      <c r="I588" s="32">
        <v>15000</v>
      </c>
      <c r="J588" s="95"/>
      <c r="K588"/>
    </row>
    <row r="589" spans="1:11">
      <c r="A589" s="19" t="s">
        <v>443</v>
      </c>
      <c r="B589" s="19"/>
      <c r="C589" s="19" t="s">
        <v>1035</v>
      </c>
      <c r="D589" s="19"/>
      <c r="E589" s="32">
        <v>5000</v>
      </c>
      <c r="F589" s="32">
        <v>0</v>
      </c>
      <c r="G589" s="32">
        <v>6583.55</v>
      </c>
      <c r="H589" s="32">
        <f t="shared" ref="H589:H593" si="104">(G589/11)*12</f>
        <v>7182.0545454545454</v>
      </c>
      <c r="I589" s="32">
        <v>1650</v>
      </c>
      <c r="J589" s="95"/>
      <c r="K589"/>
    </row>
    <row r="590" spans="1:11">
      <c r="A590" s="19" t="s">
        <v>367</v>
      </c>
      <c r="B590" s="19"/>
      <c r="C590" s="19" t="s">
        <v>368</v>
      </c>
      <c r="D590" s="19"/>
      <c r="E590" s="32">
        <v>2400</v>
      </c>
      <c r="F590" s="32">
        <v>0</v>
      </c>
      <c r="G590" s="32">
        <v>4000</v>
      </c>
      <c r="H590" s="32">
        <f t="shared" si="104"/>
        <v>4363.636363636364</v>
      </c>
      <c r="I590" s="32">
        <v>2400</v>
      </c>
      <c r="J590" s="95"/>
      <c r="K590"/>
    </row>
    <row r="591" spans="1:11">
      <c r="A591" s="19" t="s">
        <v>369</v>
      </c>
      <c r="B591" s="19"/>
      <c r="C591" s="19" t="s">
        <v>370</v>
      </c>
      <c r="D591" s="19"/>
      <c r="E591" s="32">
        <v>1500</v>
      </c>
      <c r="F591" s="32">
        <v>0</v>
      </c>
      <c r="G591" s="32">
        <v>646.29</v>
      </c>
      <c r="H591" s="32">
        <f t="shared" si="104"/>
        <v>705.04363636363632</v>
      </c>
      <c r="I591" s="32">
        <v>0</v>
      </c>
      <c r="J591" s="95"/>
      <c r="K591"/>
    </row>
    <row r="592" spans="1:11">
      <c r="A592" s="19" t="s">
        <v>1030</v>
      </c>
      <c r="B592" s="19" t="s">
        <v>1054</v>
      </c>
      <c r="C592" s="19" t="s">
        <v>980</v>
      </c>
      <c r="D592" s="19"/>
      <c r="E592" s="32">
        <v>0</v>
      </c>
      <c r="F592" s="32">
        <v>0</v>
      </c>
      <c r="G592" s="32">
        <v>5183.32</v>
      </c>
      <c r="H592" s="32">
        <f t="shared" si="104"/>
        <v>5654.5309090909086</v>
      </c>
      <c r="I592" s="32">
        <v>5000</v>
      </c>
      <c r="J592" s="95"/>
      <c r="K592"/>
    </row>
    <row r="593" spans="1:11">
      <c r="A593" s="19" t="s">
        <v>1031</v>
      </c>
      <c r="B593" s="19" t="s">
        <v>1054</v>
      </c>
      <c r="C593" s="19" t="s">
        <v>1117</v>
      </c>
      <c r="D593" s="19"/>
      <c r="E593" s="32">
        <v>0</v>
      </c>
      <c r="F593" s="32">
        <v>0</v>
      </c>
      <c r="G593" s="32">
        <v>809.93</v>
      </c>
      <c r="H593" s="32">
        <f t="shared" si="104"/>
        <v>883.56</v>
      </c>
      <c r="I593" s="32">
        <v>1000</v>
      </c>
      <c r="J593" s="95"/>
      <c r="K593"/>
    </row>
    <row r="594" spans="1:11">
      <c r="A594" s="19" t="s">
        <v>1216</v>
      </c>
      <c r="B594" s="19" t="s">
        <v>1054</v>
      </c>
      <c r="C594" s="19" t="s">
        <v>1217</v>
      </c>
      <c r="D594" s="19"/>
      <c r="E594" s="32">
        <v>0</v>
      </c>
      <c r="F594" s="32">
        <v>0</v>
      </c>
      <c r="G594" s="32">
        <v>0</v>
      </c>
      <c r="H594" s="32">
        <v>0</v>
      </c>
      <c r="I594" s="32">
        <v>500</v>
      </c>
      <c r="J594" s="95"/>
      <c r="K594"/>
    </row>
    <row r="595" spans="1:11" s="3" customFormat="1" ht="15.75" thickBot="1">
      <c r="A595" s="41"/>
      <c r="B595" s="41"/>
      <c r="C595" s="41" t="s">
        <v>822</v>
      </c>
      <c r="D595" s="41"/>
      <c r="E595" s="167">
        <f>SUM(E587:E594)</f>
        <v>24900</v>
      </c>
      <c r="F595" s="167">
        <f t="shared" ref="F595:I595" si="105">SUM(F587:F594)</f>
        <v>0</v>
      </c>
      <c r="G595" s="167">
        <f t="shared" si="105"/>
        <v>48673.51</v>
      </c>
      <c r="H595" s="167">
        <f t="shared" si="105"/>
        <v>53098.374545454535</v>
      </c>
      <c r="I595" s="167">
        <f t="shared" si="105"/>
        <v>28050</v>
      </c>
      <c r="J595" s="164"/>
    </row>
    <row r="596" spans="1:11" ht="15.75" thickTop="1">
      <c r="A596" s="19"/>
      <c r="B596" s="19"/>
      <c r="C596" s="19"/>
      <c r="D596" s="19"/>
      <c r="E596" s="20"/>
      <c r="F596" s="20"/>
      <c r="G596" s="20"/>
      <c r="H596" s="20"/>
      <c r="I596" s="20"/>
      <c r="J596" s="168"/>
    </row>
    <row r="597" spans="1:11">
      <c r="A597" s="19" t="s">
        <v>13</v>
      </c>
      <c r="B597" s="19"/>
      <c r="C597" s="19" t="s">
        <v>1061</v>
      </c>
      <c r="D597" s="19"/>
      <c r="E597" s="93" t="s">
        <v>13</v>
      </c>
      <c r="F597" s="93" t="s">
        <v>13</v>
      </c>
      <c r="G597" s="93" t="s">
        <v>13</v>
      </c>
      <c r="H597" s="93" t="s">
        <v>13</v>
      </c>
      <c r="I597" s="93" t="s">
        <v>13</v>
      </c>
      <c r="J597" s="179"/>
      <c r="K597" s="19"/>
    </row>
    <row r="598" spans="1:11">
      <c r="A598" s="19" t="s">
        <v>1086</v>
      </c>
      <c r="B598" s="19" t="s">
        <v>1054</v>
      </c>
      <c r="C598" s="19" t="s">
        <v>346</v>
      </c>
      <c r="D598" s="19"/>
      <c r="E598" s="32">
        <v>7000</v>
      </c>
      <c r="F598" s="32">
        <v>0</v>
      </c>
      <c r="G598" s="32">
        <v>4989.1499999999996</v>
      </c>
      <c r="H598" s="32">
        <f>(G598/11)*12</f>
        <v>5442.7090909090903</v>
      </c>
      <c r="I598" s="32">
        <v>5000</v>
      </c>
      <c r="J598" s="95"/>
      <c r="K598"/>
    </row>
    <row r="599" spans="1:11" s="3" customFormat="1" ht="15.75" thickBot="1">
      <c r="A599" s="41"/>
      <c r="B599" s="41"/>
      <c r="C599" s="41" t="s">
        <v>1060</v>
      </c>
      <c r="D599" s="41"/>
      <c r="E599" s="177">
        <f>SUM(E598)</f>
        <v>7000</v>
      </c>
      <c r="F599" s="177">
        <f t="shared" ref="F599:I599" si="106">SUM(F598)</f>
        <v>0</v>
      </c>
      <c r="G599" s="177">
        <f t="shared" si="106"/>
        <v>4989.1499999999996</v>
      </c>
      <c r="H599" s="177">
        <f t="shared" si="106"/>
        <v>5442.7090909090903</v>
      </c>
      <c r="I599" s="177">
        <f t="shared" si="106"/>
        <v>5000</v>
      </c>
      <c r="J599" s="178"/>
    </row>
    <row r="600" spans="1:11" s="3" customFormat="1" ht="15.75" thickTop="1">
      <c r="A600" s="41"/>
      <c r="B600" s="41"/>
      <c r="C600" s="41"/>
      <c r="D600" s="41"/>
      <c r="E600" s="197"/>
      <c r="F600" s="197"/>
      <c r="G600" s="197"/>
      <c r="H600" s="197"/>
      <c r="I600" s="197"/>
      <c r="J600" s="178"/>
    </row>
    <row r="601" spans="1:11">
      <c r="A601" s="19"/>
      <c r="B601" s="19"/>
      <c r="C601" s="19" t="s">
        <v>32</v>
      </c>
      <c r="D601" s="19"/>
      <c r="E601" s="20"/>
      <c r="F601" s="20"/>
      <c r="G601" s="20"/>
      <c r="H601" s="20"/>
      <c r="I601" s="20"/>
      <c r="J601" s="168"/>
    </row>
    <row r="602" spans="1:11">
      <c r="A602" s="19" t="s">
        <v>444</v>
      </c>
      <c r="B602" s="19"/>
      <c r="C602" s="19" t="s">
        <v>310</v>
      </c>
      <c r="D602" s="19"/>
      <c r="E602" s="32">
        <v>0</v>
      </c>
      <c r="F602" s="32">
        <v>0</v>
      </c>
      <c r="G602" s="32">
        <v>12500</v>
      </c>
      <c r="H602" s="32">
        <v>12500</v>
      </c>
      <c r="I602" s="32">
        <v>10000</v>
      </c>
      <c r="J602" s="194" t="s">
        <v>1288</v>
      </c>
      <c r="K602" s="32"/>
    </row>
    <row r="603" spans="1:11" s="3" customFormat="1" ht="15.75" thickBot="1">
      <c r="A603" s="41"/>
      <c r="B603" s="41"/>
      <c r="C603" s="41" t="s">
        <v>841</v>
      </c>
      <c r="D603" s="41"/>
      <c r="E603" s="167">
        <f t="shared" ref="E603:I603" si="107">SUM(E602:E602)</f>
        <v>0</v>
      </c>
      <c r="F603" s="167">
        <f t="shared" si="107"/>
        <v>0</v>
      </c>
      <c r="G603" s="167">
        <f t="shared" si="107"/>
        <v>12500</v>
      </c>
      <c r="H603" s="167">
        <f t="shared" si="107"/>
        <v>12500</v>
      </c>
      <c r="I603" s="167">
        <f t="shared" si="107"/>
        <v>10000</v>
      </c>
      <c r="J603" s="164"/>
    </row>
    <row r="604" spans="1:11" ht="15.75" thickTop="1">
      <c r="A604" s="19"/>
      <c r="B604" s="19"/>
      <c r="C604" s="19"/>
      <c r="D604" s="19"/>
      <c r="E604" s="20"/>
      <c r="F604" s="20"/>
      <c r="G604" s="20"/>
      <c r="H604" s="20"/>
      <c r="I604" s="20"/>
      <c r="J604" s="95"/>
      <c r="K604"/>
    </row>
    <row r="605" spans="1:11">
      <c r="A605" s="19"/>
      <c r="B605" s="19"/>
      <c r="C605" s="19" t="s">
        <v>37</v>
      </c>
      <c r="D605" s="19"/>
      <c r="E605" s="20"/>
      <c r="F605" s="20"/>
      <c r="G605" s="20"/>
      <c r="H605" s="20"/>
      <c r="I605" s="20"/>
      <c r="J605" s="95"/>
      <c r="K605"/>
    </row>
    <row r="606" spans="1:11">
      <c r="A606" s="19" t="s">
        <v>736</v>
      </c>
      <c r="B606" s="19"/>
      <c r="C606" s="19" t="s">
        <v>844</v>
      </c>
      <c r="D606" s="19"/>
      <c r="E606" s="32">
        <v>10694</v>
      </c>
      <c r="F606" s="32">
        <v>0</v>
      </c>
      <c r="G606" s="32">
        <v>9202</v>
      </c>
      <c r="H606" s="32">
        <v>9202</v>
      </c>
      <c r="I606" s="32">
        <v>0</v>
      </c>
      <c r="J606" s="94"/>
      <c r="K606"/>
    </row>
    <row r="607" spans="1:11" s="3" customFormat="1" ht="15.75" thickBot="1">
      <c r="A607" s="41"/>
      <c r="B607" s="41"/>
      <c r="C607" s="41" t="s">
        <v>835</v>
      </c>
      <c r="D607" s="41"/>
      <c r="E607" s="167">
        <f>SUM(E606)</f>
        <v>10694</v>
      </c>
      <c r="F607" s="167">
        <f t="shared" ref="F607:I607" si="108">SUM(F606)</f>
        <v>0</v>
      </c>
      <c r="G607" s="167">
        <f t="shared" si="108"/>
        <v>9202</v>
      </c>
      <c r="H607" s="167">
        <f t="shared" si="108"/>
        <v>9202</v>
      </c>
      <c r="I607" s="167">
        <f t="shared" si="108"/>
        <v>0</v>
      </c>
      <c r="J607" s="164"/>
    </row>
    <row r="608" spans="1:11" ht="15.75" thickTop="1">
      <c r="A608" s="19"/>
      <c r="B608" s="19"/>
      <c r="C608" s="19"/>
      <c r="D608" s="19"/>
      <c r="E608" s="20"/>
      <c r="F608" s="20"/>
      <c r="G608" s="20"/>
      <c r="H608" s="20"/>
      <c r="I608" s="20"/>
      <c r="J608" s="168"/>
    </row>
    <row r="609" spans="1:11" ht="15.75" thickBot="1">
      <c r="A609" s="19"/>
      <c r="B609" s="19"/>
      <c r="C609" s="41" t="s">
        <v>845</v>
      </c>
      <c r="D609" s="41"/>
      <c r="E609" s="171">
        <f>E560+E564+E576+E584+E595+E599+E603+E607</f>
        <v>302170</v>
      </c>
      <c r="F609" s="171">
        <f>F560+F564+F576+F584+F595+F599+F603+F607</f>
        <v>0</v>
      </c>
      <c r="G609" s="171">
        <f>G560+G564+G576+G584+G595+G599+G603+G607</f>
        <v>274722.02</v>
      </c>
      <c r="H609" s="171">
        <f>H560+H564+H576+H584+H595+H599+H603+H607</f>
        <v>296577.88070416666</v>
      </c>
      <c r="I609" s="171">
        <f>I560+I564+I576+I584+I595+I599+I603+I607</f>
        <v>253539</v>
      </c>
      <c r="J609" s="95"/>
      <c r="K609"/>
    </row>
    <row r="610" spans="1:11" ht="15.75" thickTop="1">
      <c r="A610" s="19"/>
      <c r="B610" s="19"/>
      <c r="C610" s="41"/>
      <c r="D610" s="41"/>
      <c r="E610" s="186"/>
      <c r="F610" s="186"/>
      <c r="G610" s="186"/>
      <c r="H610" s="186"/>
      <c r="I610" s="186"/>
      <c r="J610" s="95"/>
      <c r="K610"/>
    </row>
    <row r="611" spans="1:11">
      <c r="A611" s="19"/>
      <c r="B611" s="19"/>
      <c r="C611" s="41"/>
      <c r="D611" s="41"/>
      <c r="E611" s="186"/>
      <c r="F611" s="186"/>
      <c r="G611" s="186"/>
      <c r="H611" s="186"/>
      <c r="I611" s="186"/>
      <c r="J611" s="95"/>
      <c r="K611"/>
    </row>
    <row r="612" spans="1:11">
      <c r="A612" s="201" t="s">
        <v>1271</v>
      </c>
      <c r="B612" s="201"/>
      <c r="C612" s="201"/>
      <c r="D612" s="201"/>
      <c r="E612" s="201"/>
      <c r="F612" s="201"/>
      <c r="G612" s="201"/>
      <c r="H612" s="201"/>
      <c r="I612" s="201"/>
      <c r="J612" s="201"/>
      <c r="K612"/>
    </row>
    <row r="613" spans="1:11">
      <c r="A613" s="19"/>
      <c r="B613" s="19"/>
      <c r="C613" s="19" t="s">
        <v>204</v>
      </c>
      <c r="D613" s="19"/>
      <c r="E613" s="20"/>
      <c r="F613" s="20"/>
      <c r="G613" s="20"/>
      <c r="H613" s="20"/>
      <c r="I613" s="20"/>
      <c r="J613" s="95"/>
      <c r="K613"/>
    </row>
    <row r="614" spans="1:11">
      <c r="A614" s="19" t="s">
        <v>371</v>
      </c>
      <c r="B614" s="19"/>
      <c r="C614" s="19" t="s">
        <v>372</v>
      </c>
      <c r="D614" s="19"/>
      <c r="E614" s="32">
        <v>48000</v>
      </c>
      <c r="F614" s="32">
        <v>0</v>
      </c>
      <c r="G614" s="32">
        <v>53019.78</v>
      </c>
      <c r="H614" s="32">
        <f>(G614/24)*26</f>
        <v>57438.094999999994</v>
      </c>
      <c r="I614" s="32">
        <v>58200</v>
      </c>
      <c r="J614" s="95"/>
      <c r="K614"/>
    </row>
    <row r="615" spans="1:11" ht="15.75" thickBot="1">
      <c r="A615" s="19" t="s">
        <v>13</v>
      </c>
      <c r="B615" s="19"/>
      <c r="C615" s="19" t="s">
        <v>820</v>
      </c>
      <c r="D615" s="19"/>
      <c r="E615" s="172">
        <f>SUM(E614)</f>
        <v>48000</v>
      </c>
      <c r="F615" s="172">
        <f t="shared" ref="F615:I615" si="109">SUM(F614)</f>
        <v>0</v>
      </c>
      <c r="G615" s="172">
        <f t="shared" si="109"/>
        <v>53019.78</v>
      </c>
      <c r="H615" s="172">
        <f t="shared" si="109"/>
        <v>57438.094999999994</v>
      </c>
      <c r="I615" s="172">
        <f t="shared" si="109"/>
        <v>58200</v>
      </c>
      <c r="J615" s="95"/>
      <c r="K615"/>
    </row>
    <row r="616" spans="1:11" ht="15.75" thickTop="1">
      <c r="A616" s="19"/>
      <c r="B616" s="19"/>
      <c r="C616" s="19"/>
      <c r="D616" s="19"/>
      <c r="E616" s="32"/>
      <c r="F616" s="32"/>
      <c r="G616" s="32"/>
      <c r="H616" s="32"/>
      <c r="I616" s="32"/>
      <c r="J616" s="95"/>
      <c r="K616"/>
    </row>
    <row r="617" spans="1:11">
      <c r="A617" s="19" t="s">
        <v>13</v>
      </c>
      <c r="B617" s="19"/>
      <c r="C617" s="19" t="s">
        <v>205</v>
      </c>
      <c r="D617" s="19"/>
      <c r="E617" s="32" t="s">
        <v>13</v>
      </c>
      <c r="F617" s="32" t="s">
        <v>13</v>
      </c>
      <c r="G617" s="32" t="s">
        <v>13</v>
      </c>
      <c r="H617" s="32" t="s">
        <v>13</v>
      </c>
      <c r="I617" s="32" t="s">
        <v>13</v>
      </c>
      <c r="J617" s="95"/>
      <c r="K617"/>
    </row>
    <row r="618" spans="1:11">
      <c r="A618" s="19" t="s">
        <v>1266</v>
      </c>
      <c r="B618" s="19" t="s">
        <v>1054</v>
      </c>
      <c r="C618" s="19" t="s">
        <v>227</v>
      </c>
      <c r="D618" s="19"/>
      <c r="E618" s="32">
        <v>0</v>
      </c>
      <c r="F618" s="32">
        <v>0</v>
      </c>
      <c r="G618" s="32">
        <v>0</v>
      </c>
      <c r="H618" s="32">
        <v>0</v>
      </c>
      <c r="I618" s="32">
        <v>0</v>
      </c>
      <c r="J618" s="95"/>
      <c r="K618"/>
    </row>
    <row r="619" spans="1:11">
      <c r="A619" s="19" t="s">
        <v>373</v>
      </c>
      <c r="B619" s="19"/>
      <c r="C619" s="19" t="s">
        <v>215</v>
      </c>
      <c r="D619" s="19"/>
      <c r="E619" s="32">
        <v>3672</v>
      </c>
      <c r="F619" s="32">
        <v>0</v>
      </c>
      <c r="G619" s="32">
        <v>4039.28</v>
      </c>
      <c r="H619" s="32">
        <f>H615*0.0765</f>
        <v>4394.0142674999997</v>
      </c>
      <c r="I619" s="32">
        <f>I615*0.0765</f>
        <v>4452.3</v>
      </c>
      <c r="J619" s="95"/>
      <c r="K619"/>
    </row>
    <row r="620" spans="1:11">
      <c r="A620" s="19" t="s">
        <v>1267</v>
      </c>
      <c r="B620" s="19" t="s">
        <v>1054</v>
      </c>
      <c r="C620" s="19" t="s">
        <v>231</v>
      </c>
      <c r="D620" s="19"/>
      <c r="E620" s="32">
        <v>0</v>
      </c>
      <c r="F620" s="32">
        <v>0</v>
      </c>
      <c r="G620" s="32">
        <v>0</v>
      </c>
      <c r="H620" s="32">
        <v>0</v>
      </c>
      <c r="I620" s="32">
        <v>0</v>
      </c>
      <c r="J620" s="95"/>
      <c r="K620"/>
    </row>
    <row r="621" spans="1:11">
      <c r="A621" s="19" t="s">
        <v>1225</v>
      </c>
      <c r="B621" s="19" t="s">
        <v>1054</v>
      </c>
      <c r="C621" s="19" t="s">
        <v>1219</v>
      </c>
      <c r="D621" s="19"/>
      <c r="E621" s="32">
        <v>0</v>
      </c>
      <c r="F621" s="32">
        <v>0</v>
      </c>
      <c r="G621" s="32">
        <v>0</v>
      </c>
      <c r="H621" s="32">
        <v>0</v>
      </c>
      <c r="I621" s="32">
        <v>0</v>
      </c>
      <c r="J621" s="95"/>
      <c r="K621"/>
    </row>
    <row r="622" spans="1:11">
      <c r="A622" s="19" t="s">
        <v>1268</v>
      </c>
      <c r="B622" s="19" t="s">
        <v>1054</v>
      </c>
      <c r="C622" s="19" t="s">
        <v>234</v>
      </c>
      <c r="D622" s="19"/>
      <c r="E622" s="32">
        <v>0</v>
      </c>
      <c r="F622" s="32">
        <v>0</v>
      </c>
      <c r="G622" s="32">
        <v>0</v>
      </c>
      <c r="H622" s="32">
        <v>0</v>
      </c>
      <c r="I622" s="32">
        <v>0</v>
      </c>
      <c r="J622" s="95"/>
      <c r="K622"/>
    </row>
    <row r="623" spans="1:11" ht="15.75" thickBot="1">
      <c r="A623" s="19" t="s">
        <v>13</v>
      </c>
      <c r="B623" s="19"/>
      <c r="C623" s="19" t="s">
        <v>821</v>
      </c>
      <c r="D623" s="19"/>
      <c r="E623" s="172">
        <f>SUM(E618:E622)</f>
        <v>3672</v>
      </c>
      <c r="F623" s="172">
        <f t="shared" ref="F623:I623" si="110">SUM(F618:F622)</f>
        <v>0</v>
      </c>
      <c r="G623" s="172">
        <f t="shared" si="110"/>
        <v>4039.28</v>
      </c>
      <c r="H623" s="172">
        <f t="shared" si="110"/>
        <v>4394.0142674999997</v>
      </c>
      <c r="I623" s="172">
        <f t="shared" si="110"/>
        <v>4452.3</v>
      </c>
      <c r="J623" s="95"/>
      <c r="K623"/>
    </row>
    <row r="624" spans="1:11" ht="15.75" thickTop="1">
      <c r="A624" s="19"/>
      <c r="B624" s="19"/>
      <c r="C624" s="19"/>
      <c r="D624" s="19"/>
      <c r="E624" s="32"/>
      <c r="F624" s="32"/>
      <c r="G624" s="32"/>
      <c r="H624" s="32"/>
      <c r="I624" s="32"/>
      <c r="J624" s="95"/>
      <c r="K624"/>
    </row>
    <row r="625" spans="1:11" s="3" customFormat="1" ht="15.75" thickBot="1">
      <c r="A625" s="41"/>
      <c r="B625" s="41"/>
      <c r="C625" s="41" t="s">
        <v>814</v>
      </c>
      <c r="D625" s="41"/>
      <c r="E625" s="167">
        <f>E615+E623</f>
        <v>51672</v>
      </c>
      <c r="F625" s="167">
        <f t="shared" ref="F625:I625" si="111">F615+F623</f>
        <v>0</v>
      </c>
      <c r="G625" s="167">
        <f t="shared" si="111"/>
        <v>57059.06</v>
      </c>
      <c r="H625" s="167">
        <f t="shared" si="111"/>
        <v>61832.109267499996</v>
      </c>
      <c r="I625" s="167">
        <f t="shared" si="111"/>
        <v>62652.3</v>
      </c>
      <c r="J625" s="164"/>
    </row>
    <row r="626" spans="1:11" ht="15.75" thickTop="1">
      <c r="A626" s="19"/>
      <c r="B626" s="19"/>
      <c r="C626" s="19"/>
      <c r="D626" s="19"/>
      <c r="E626" s="32"/>
      <c r="F626" s="32"/>
      <c r="G626" s="32"/>
      <c r="H626" s="32"/>
      <c r="I626" s="32"/>
      <c r="J626" s="168"/>
    </row>
    <row r="627" spans="1:11">
      <c r="A627" s="19" t="s">
        <v>13</v>
      </c>
      <c r="B627" s="19"/>
      <c r="C627" s="19" t="s">
        <v>210</v>
      </c>
      <c r="D627" s="19"/>
      <c r="E627" s="32"/>
      <c r="F627" s="32" t="s">
        <v>13</v>
      </c>
      <c r="G627" s="32" t="s">
        <v>13</v>
      </c>
      <c r="H627" s="32" t="s">
        <v>13</v>
      </c>
      <c r="I627" s="32" t="s">
        <v>13</v>
      </c>
      <c r="J627" s="168"/>
    </row>
    <row r="628" spans="1:11">
      <c r="A628" s="19" t="s">
        <v>1241</v>
      </c>
      <c r="B628" s="19" t="s">
        <v>1054</v>
      </c>
      <c r="C628" s="19" t="s">
        <v>247</v>
      </c>
      <c r="D628" s="19"/>
      <c r="E628" s="32">
        <v>0</v>
      </c>
      <c r="F628" s="32">
        <v>0</v>
      </c>
      <c r="G628" s="32"/>
      <c r="H628" s="32"/>
      <c r="I628" s="32"/>
      <c r="J628" s="168"/>
    </row>
    <row r="629" spans="1:11">
      <c r="A629" s="19" t="s">
        <v>374</v>
      </c>
      <c r="B629" s="19"/>
      <c r="C629" s="19" t="s">
        <v>1269</v>
      </c>
      <c r="D629" s="19"/>
      <c r="E629" s="32">
        <v>2600</v>
      </c>
      <c r="F629" s="32">
        <v>0</v>
      </c>
      <c r="G629" s="32">
        <v>3152.09</v>
      </c>
      <c r="H629" s="32">
        <f>(G629/11)*12</f>
        <v>3438.6436363636367</v>
      </c>
      <c r="I629" s="32">
        <v>3545</v>
      </c>
      <c r="J629" s="95"/>
      <c r="K629"/>
    </row>
    <row r="630" spans="1:11">
      <c r="A630" s="19" t="s">
        <v>375</v>
      </c>
      <c r="B630" s="19"/>
      <c r="C630" s="19" t="s">
        <v>1270</v>
      </c>
      <c r="D630" s="19"/>
      <c r="E630" s="32">
        <v>1500</v>
      </c>
      <c r="F630" s="32">
        <v>0</v>
      </c>
      <c r="G630" s="32">
        <v>1257.77</v>
      </c>
      <c r="H630" s="32">
        <f>(G630/11)*12</f>
        <v>1372.1127272727272</v>
      </c>
      <c r="I630" s="32">
        <v>1415</v>
      </c>
      <c r="J630" s="95"/>
      <c r="K630"/>
    </row>
    <row r="631" spans="1:11">
      <c r="A631" s="19" t="s">
        <v>1242</v>
      </c>
      <c r="B631" s="19" t="s">
        <v>1054</v>
      </c>
      <c r="C631" s="19" t="s">
        <v>251</v>
      </c>
      <c r="D631" s="19"/>
      <c r="E631" s="32">
        <v>0</v>
      </c>
      <c r="F631" s="32">
        <v>0</v>
      </c>
      <c r="G631" s="32"/>
      <c r="H631" s="32"/>
      <c r="I631" s="32"/>
      <c r="J631" s="95"/>
      <c r="K631"/>
    </row>
    <row r="632" spans="1:11" s="3" customFormat="1" ht="15.75" thickBot="1">
      <c r="A632" s="41" t="s">
        <v>13</v>
      </c>
      <c r="B632" s="41"/>
      <c r="C632" s="41" t="s">
        <v>816</v>
      </c>
      <c r="D632" s="41"/>
      <c r="E632" s="167">
        <f>SUM(E628:E631)</f>
        <v>4100</v>
      </c>
      <c r="F632" s="167">
        <f t="shared" ref="F632:I632" si="112">SUM(F628:F631)</f>
        <v>0</v>
      </c>
      <c r="G632" s="167">
        <f t="shared" si="112"/>
        <v>4409.8600000000006</v>
      </c>
      <c r="H632" s="167">
        <f t="shared" si="112"/>
        <v>4810.7563636363639</v>
      </c>
      <c r="I632" s="167">
        <f t="shared" si="112"/>
        <v>4960</v>
      </c>
      <c r="J632" s="164"/>
    </row>
    <row r="633" spans="1:11" ht="15.75" thickTop="1">
      <c r="A633" s="19"/>
      <c r="B633" s="19"/>
      <c r="C633" s="19"/>
      <c r="D633" s="19"/>
      <c r="E633" s="32"/>
      <c r="F633" s="32"/>
      <c r="G633" s="32"/>
      <c r="H633" s="32"/>
      <c r="I633" s="32"/>
      <c r="J633" s="95"/>
      <c r="K633"/>
    </row>
    <row r="634" spans="1:11">
      <c r="A634" s="19" t="s">
        <v>13</v>
      </c>
      <c r="B634" s="19"/>
      <c r="C634" s="19" t="s">
        <v>212</v>
      </c>
      <c r="D634" s="19"/>
      <c r="E634" s="32" t="s">
        <v>13</v>
      </c>
      <c r="F634" s="32" t="s">
        <v>13</v>
      </c>
      <c r="G634" s="32" t="s">
        <v>13</v>
      </c>
      <c r="H634" s="32" t="s">
        <v>13</v>
      </c>
      <c r="I634" s="32" t="s">
        <v>13</v>
      </c>
      <c r="J634" s="95"/>
      <c r="K634"/>
    </row>
    <row r="635" spans="1:11">
      <c r="A635" s="19" t="s">
        <v>377</v>
      </c>
      <c r="B635" s="19"/>
      <c r="C635" s="19" t="s">
        <v>271</v>
      </c>
      <c r="D635" s="19"/>
      <c r="E635" s="32">
        <v>2000</v>
      </c>
      <c r="F635" s="32">
        <v>0</v>
      </c>
      <c r="G635" s="32">
        <v>2355.85</v>
      </c>
      <c r="H635" s="32">
        <f>(G635/11)*12</f>
        <v>2570.0181818181818</v>
      </c>
      <c r="I635" s="32">
        <v>2100</v>
      </c>
      <c r="J635" s="95"/>
      <c r="K635"/>
    </row>
    <row r="636" spans="1:11">
      <c r="A636" s="19" t="s">
        <v>1087</v>
      </c>
      <c r="B636" s="19" t="s">
        <v>1054</v>
      </c>
      <c r="C636" s="19" t="s">
        <v>966</v>
      </c>
      <c r="D636" s="19"/>
      <c r="E636" s="32">
        <v>0</v>
      </c>
      <c r="F636" s="32">
        <v>0</v>
      </c>
      <c r="G636" s="32">
        <v>0</v>
      </c>
      <c r="H636" s="32">
        <f>(G636/11)*12</f>
        <v>0</v>
      </c>
      <c r="I636" s="37">
        <v>1250</v>
      </c>
      <c r="J636" s="95"/>
      <c r="K636"/>
    </row>
    <row r="637" spans="1:11" s="3" customFormat="1" ht="15.75" thickBot="1">
      <c r="A637" s="41" t="s">
        <v>13</v>
      </c>
      <c r="B637" s="41"/>
      <c r="C637" s="41" t="s">
        <v>817</v>
      </c>
      <c r="D637" s="41"/>
      <c r="E637" s="167">
        <f>SUM(E635:E636)</f>
        <v>2000</v>
      </c>
      <c r="F637" s="167">
        <f t="shared" ref="F637:I637" si="113">SUM(F635:F636)</f>
        <v>0</v>
      </c>
      <c r="G637" s="167">
        <f t="shared" si="113"/>
        <v>2355.85</v>
      </c>
      <c r="H637" s="167">
        <f t="shared" si="113"/>
        <v>2570.0181818181818</v>
      </c>
      <c r="I637" s="167">
        <f t="shared" si="113"/>
        <v>3350</v>
      </c>
      <c r="J637" s="164"/>
    </row>
    <row r="638" spans="1:11" ht="15.75" thickTop="1">
      <c r="A638" s="19"/>
      <c r="B638" s="19"/>
      <c r="C638" s="19"/>
      <c r="D638" s="19"/>
      <c r="E638" s="32"/>
      <c r="F638" s="32"/>
      <c r="G638" s="32"/>
      <c r="H638" s="32"/>
      <c r="I638" s="32"/>
      <c r="J638" s="95"/>
      <c r="K638"/>
    </row>
    <row r="639" spans="1:11">
      <c r="A639" s="19" t="s">
        <v>13</v>
      </c>
      <c r="B639" s="19"/>
      <c r="C639" s="19" t="s">
        <v>223</v>
      </c>
      <c r="D639" s="19"/>
      <c r="E639" s="32" t="s">
        <v>13</v>
      </c>
      <c r="F639" s="32" t="s">
        <v>13</v>
      </c>
      <c r="G639" s="32" t="s">
        <v>13</v>
      </c>
      <c r="H639" s="32" t="s">
        <v>13</v>
      </c>
      <c r="I639" s="32" t="s">
        <v>13</v>
      </c>
      <c r="J639" s="95"/>
      <c r="K639"/>
    </row>
    <row r="640" spans="1:11">
      <c r="A640" s="19" t="s">
        <v>1202</v>
      </c>
      <c r="B640" s="19" t="s">
        <v>1054</v>
      </c>
      <c r="C640" s="19" t="s">
        <v>1215</v>
      </c>
      <c r="D640" s="19"/>
      <c r="E640" s="32">
        <v>0</v>
      </c>
      <c r="F640" s="32">
        <v>0</v>
      </c>
      <c r="G640" s="32">
        <v>0</v>
      </c>
      <c r="H640" s="32">
        <v>0</v>
      </c>
      <c r="I640" s="32">
        <v>500</v>
      </c>
      <c r="J640" s="95"/>
      <c r="K640"/>
    </row>
    <row r="641" spans="1:11">
      <c r="A641" s="19" t="s">
        <v>378</v>
      </c>
      <c r="B641" s="19"/>
      <c r="C641" s="19" t="s">
        <v>379</v>
      </c>
      <c r="D641" s="19"/>
      <c r="E641" s="32">
        <v>1500</v>
      </c>
      <c r="F641" s="32">
        <v>0</v>
      </c>
      <c r="G641" s="32">
        <v>1455.25</v>
      </c>
      <c r="H641" s="32">
        <f>(G641/11)*12</f>
        <v>1587.5454545454545</v>
      </c>
      <c r="I641" s="32">
        <v>1500</v>
      </c>
      <c r="J641" s="95"/>
      <c r="K641"/>
    </row>
    <row r="642" spans="1:11" s="3" customFormat="1" ht="15.75" thickBot="1">
      <c r="A642" s="41" t="s">
        <v>13</v>
      </c>
      <c r="B642" s="41"/>
      <c r="C642" s="41" t="s">
        <v>822</v>
      </c>
      <c r="D642" s="41"/>
      <c r="E642" s="167">
        <f>SUM(E640:E641)</f>
        <v>1500</v>
      </c>
      <c r="F642" s="167">
        <f t="shared" ref="F642:I642" si="114">SUM(F640:F641)</f>
        <v>0</v>
      </c>
      <c r="G642" s="167">
        <f t="shared" si="114"/>
        <v>1455.25</v>
      </c>
      <c r="H642" s="167">
        <f t="shared" si="114"/>
        <v>1587.5454545454545</v>
      </c>
      <c r="I642" s="167">
        <f t="shared" si="114"/>
        <v>2000</v>
      </c>
      <c r="J642" s="164"/>
    </row>
    <row r="643" spans="1:11" ht="15.75" thickTop="1">
      <c r="A643" s="19"/>
      <c r="B643" s="19"/>
      <c r="C643" s="19"/>
      <c r="D643" s="19"/>
      <c r="E643" s="32"/>
      <c r="F643" s="32"/>
      <c r="G643" s="32"/>
      <c r="H643" s="32"/>
      <c r="I643" s="32"/>
      <c r="J643" s="168"/>
    </row>
    <row r="644" spans="1:11">
      <c r="A644" s="19" t="s">
        <v>13</v>
      </c>
      <c r="B644" s="19"/>
      <c r="C644" s="19" t="s">
        <v>1061</v>
      </c>
      <c r="D644" s="19"/>
      <c r="E644" s="93" t="s">
        <v>13</v>
      </c>
      <c r="F644" s="93" t="s">
        <v>13</v>
      </c>
      <c r="G644" s="93" t="s">
        <v>13</v>
      </c>
      <c r="H644" s="93" t="s">
        <v>13</v>
      </c>
      <c r="I644" s="93" t="s">
        <v>13</v>
      </c>
      <c r="J644" s="179"/>
      <c r="K644" s="19"/>
    </row>
    <row r="645" spans="1:11">
      <c r="A645" s="19" t="s">
        <v>1088</v>
      </c>
      <c r="B645" s="19" t="s">
        <v>1054</v>
      </c>
      <c r="C645" s="19" t="s">
        <v>346</v>
      </c>
      <c r="D645" s="19"/>
      <c r="E645" s="32">
        <v>0</v>
      </c>
      <c r="F645" s="32">
        <v>0</v>
      </c>
      <c r="G645" s="32">
        <v>0</v>
      </c>
      <c r="H645" s="32">
        <v>0</v>
      </c>
      <c r="I645" s="32">
        <v>500</v>
      </c>
      <c r="J645" s="95"/>
      <c r="K645"/>
    </row>
    <row r="646" spans="1:11" s="3" customFormat="1" ht="15.75" thickBot="1">
      <c r="A646" s="41"/>
      <c r="B646" s="41"/>
      <c r="C646" s="41" t="s">
        <v>1060</v>
      </c>
      <c r="D646" s="41"/>
      <c r="E646" s="177">
        <f>SUM(E645)</f>
        <v>0</v>
      </c>
      <c r="F646" s="177">
        <f t="shared" ref="F646:I646" si="115">SUM(F645)</f>
        <v>0</v>
      </c>
      <c r="G646" s="177">
        <f t="shared" si="115"/>
        <v>0</v>
      </c>
      <c r="H646" s="177">
        <f t="shared" si="115"/>
        <v>0</v>
      </c>
      <c r="I646" s="177">
        <f t="shared" si="115"/>
        <v>500</v>
      </c>
      <c r="J646" s="178"/>
    </row>
    <row r="647" spans="1:11" s="3" customFormat="1" ht="15.75" thickTop="1">
      <c r="A647" s="41"/>
      <c r="B647" s="41"/>
      <c r="C647" s="41"/>
      <c r="D647" s="41"/>
      <c r="E647" s="197"/>
      <c r="F647" s="197"/>
      <c r="G647" s="197"/>
      <c r="H647" s="197"/>
      <c r="I647" s="197"/>
      <c r="J647" s="178"/>
    </row>
    <row r="648" spans="1:11">
      <c r="A648" s="19" t="s">
        <v>13</v>
      </c>
      <c r="B648" s="19"/>
      <c r="C648" s="19" t="s">
        <v>32</v>
      </c>
      <c r="D648" s="19"/>
      <c r="E648" s="32" t="s">
        <v>13</v>
      </c>
      <c r="F648" s="32" t="s">
        <v>13</v>
      </c>
      <c r="G648" s="32" t="s">
        <v>13</v>
      </c>
      <c r="H648" s="32" t="s">
        <v>13</v>
      </c>
      <c r="I648" s="32" t="s">
        <v>13</v>
      </c>
      <c r="J648" s="168"/>
    </row>
    <row r="649" spans="1:11">
      <c r="A649" s="19" t="s">
        <v>449</v>
      </c>
      <c r="B649" s="19"/>
      <c r="C649" s="19" t="s">
        <v>310</v>
      </c>
      <c r="D649" s="19"/>
      <c r="E649" s="32">
        <v>0</v>
      </c>
      <c r="F649" s="32">
        <v>0</v>
      </c>
      <c r="G649" s="32">
        <v>0</v>
      </c>
      <c r="H649" s="32">
        <v>0</v>
      </c>
      <c r="I649" s="32">
        <v>0</v>
      </c>
      <c r="J649" s="95" t="s">
        <v>1089</v>
      </c>
      <c r="K649" s="32"/>
    </row>
    <row r="650" spans="1:11" s="3" customFormat="1" ht="15.75" thickBot="1">
      <c r="A650" s="41"/>
      <c r="B650" s="41"/>
      <c r="C650" s="41" t="s">
        <v>841</v>
      </c>
      <c r="D650" s="41"/>
      <c r="E650" s="167">
        <f>SUM(E649)</f>
        <v>0</v>
      </c>
      <c r="F650" s="167">
        <f t="shared" ref="F650:I650" si="116">SUM(F649)</f>
        <v>0</v>
      </c>
      <c r="G650" s="167">
        <f t="shared" si="116"/>
        <v>0</v>
      </c>
      <c r="H650" s="167">
        <f t="shared" si="116"/>
        <v>0</v>
      </c>
      <c r="I650" s="167">
        <f t="shared" si="116"/>
        <v>0</v>
      </c>
      <c r="J650" s="164"/>
    </row>
    <row r="651" spans="1:11" ht="15.75" thickTop="1">
      <c r="A651" s="19"/>
      <c r="B651" s="19"/>
      <c r="C651" s="19"/>
      <c r="D651" s="19"/>
      <c r="E651" s="20"/>
      <c r="F651" s="20"/>
      <c r="G651" s="20"/>
      <c r="H651" s="20"/>
      <c r="I651" s="20"/>
      <c r="J651" s="95"/>
      <c r="K651"/>
    </row>
    <row r="652" spans="1:11">
      <c r="A652" s="19"/>
      <c r="B652" s="19"/>
      <c r="C652" s="19" t="s">
        <v>37</v>
      </c>
      <c r="D652" s="19"/>
      <c r="E652" s="20"/>
      <c r="F652" s="20"/>
      <c r="G652" s="20"/>
      <c r="H652" s="20"/>
      <c r="I652" s="20"/>
      <c r="J652" s="95"/>
      <c r="K652"/>
    </row>
    <row r="653" spans="1:11">
      <c r="A653" s="19" t="s">
        <v>736</v>
      </c>
      <c r="B653" s="19"/>
      <c r="C653" s="19" t="s">
        <v>846</v>
      </c>
      <c r="D653" s="19"/>
      <c r="E653" s="32">
        <v>0</v>
      </c>
      <c r="F653" s="32">
        <v>0</v>
      </c>
      <c r="G653" s="32">
        <v>0</v>
      </c>
      <c r="H653" s="32">
        <v>0</v>
      </c>
      <c r="I653" s="32">
        <v>0</v>
      </c>
      <c r="J653" s="95"/>
      <c r="K653"/>
    </row>
    <row r="654" spans="1:11" s="3" customFormat="1" ht="15.75" thickBot="1">
      <c r="A654" s="41" t="s">
        <v>13</v>
      </c>
      <c r="B654" s="41"/>
      <c r="C654" s="41" t="s">
        <v>835</v>
      </c>
      <c r="D654" s="41"/>
      <c r="E654" s="167">
        <f>SUM(E653)</f>
        <v>0</v>
      </c>
      <c r="F654" s="167">
        <f t="shared" ref="F654:I654" si="117">SUM(F653)</f>
        <v>0</v>
      </c>
      <c r="G654" s="167">
        <f t="shared" si="117"/>
        <v>0</v>
      </c>
      <c r="H654" s="167">
        <f t="shared" si="117"/>
        <v>0</v>
      </c>
      <c r="I654" s="167">
        <f t="shared" si="117"/>
        <v>0</v>
      </c>
      <c r="J654" s="164"/>
    </row>
    <row r="655" spans="1:11" ht="15.75" thickTop="1">
      <c r="A655" s="19"/>
      <c r="B655" s="19"/>
      <c r="C655" s="19"/>
      <c r="D655" s="19"/>
      <c r="E655" s="32"/>
      <c r="F655" s="32"/>
      <c r="G655" s="32"/>
      <c r="H655" s="32"/>
      <c r="I655" s="32"/>
      <c r="J655" s="95"/>
      <c r="K655"/>
    </row>
    <row r="656" spans="1:11" ht="15.75" thickBot="1">
      <c r="A656" s="19"/>
      <c r="B656" s="19"/>
      <c r="C656" s="41" t="s">
        <v>847</v>
      </c>
      <c r="D656" s="41"/>
      <c r="E656" s="167">
        <f>E625+E632+E637+E642+E646+E650+E654</f>
        <v>59272</v>
      </c>
      <c r="F656" s="167">
        <f>F625+F632+F637+F642+F646+F650+F654</f>
        <v>0</v>
      </c>
      <c r="G656" s="167">
        <f>G625+G632+G637+G642+G646+G650+G654</f>
        <v>65280.02</v>
      </c>
      <c r="H656" s="167">
        <f>H625+H632+H637+H642+H646+H650+H654</f>
        <v>70800.429267500003</v>
      </c>
      <c r="I656" s="167">
        <f>I625+I632+I637+I642+I646+I650+I654</f>
        <v>73462.3</v>
      </c>
      <c r="J656" s="95"/>
      <c r="K656"/>
    </row>
    <row r="657" spans="1:11" ht="15.75" thickTop="1">
      <c r="A657" s="19"/>
      <c r="B657" s="19"/>
      <c r="C657" s="19"/>
      <c r="D657" s="19"/>
      <c r="E657" s="32"/>
      <c r="F657" s="32"/>
      <c r="G657" s="32"/>
      <c r="H657" s="32"/>
      <c r="I657" s="32"/>
      <c r="J657" s="168"/>
    </row>
    <row r="658" spans="1:11">
      <c r="A658" s="19"/>
      <c r="B658" s="19"/>
      <c r="C658" s="19"/>
      <c r="D658" s="19"/>
      <c r="E658" s="32"/>
      <c r="F658" s="32"/>
      <c r="G658" s="32"/>
      <c r="H658" s="32"/>
      <c r="I658" s="32"/>
      <c r="J658" s="168"/>
    </row>
    <row r="659" spans="1:11">
      <c r="A659" s="201" t="s">
        <v>701</v>
      </c>
      <c r="B659" s="201"/>
      <c r="C659" s="201"/>
      <c r="D659" s="201"/>
      <c r="E659" s="201"/>
      <c r="F659" s="201"/>
      <c r="G659" s="201"/>
      <c r="H659" s="201"/>
      <c r="I659" s="201"/>
      <c r="J659" s="201"/>
      <c r="K659"/>
    </row>
    <row r="660" spans="1:11">
      <c r="A660" s="19" t="s">
        <v>13</v>
      </c>
      <c r="B660" s="19"/>
      <c r="C660" s="19" t="s">
        <v>204</v>
      </c>
      <c r="D660" s="19"/>
      <c r="E660" s="32" t="s">
        <v>13</v>
      </c>
      <c r="F660" s="32" t="s">
        <v>13</v>
      </c>
      <c r="G660" s="32" t="s">
        <v>13</v>
      </c>
      <c r="H660" s="32" t="s">
        <v>13</v>
      </c>
      <c r="I660" s="32" t="s">
        <v>13</v>
      </c>
      <c r="J660" s="168"/>
    </row>
    <row r="661" spans="1:11">
      <c r="A661" s="19" t="s">
        <v>381</v>
      </c>
      <c r="B661" s="19"/>
      <c r="C661" s="19" t="s">
        <v>876</v>
      </c>
      <c r="D661" s="19"/>
      <c r="E661" s="32">
        <v>38000</v>
      </c>
      <c r="F661" s="32">
        <v>0</v>
      </c>
      <c r="G661" s="32">
        <v>60488.65</v>
      </c>
      <c r="H661" s="32">
        <f>(G661/24)*26</f>
        <v>65529.370833333342</v>
      </c>
      <c r="I661" s="32">
        <v>130000</v>
      </c>
      <c r="J661" s="95" t="s">
        <v>13</v>
      </c>
      <c r="K661"/>
    </row>
    <row r="662" spans="1:11" ht="15.75" thickBot="1">
      <c r="A662" s="19"/>
      <c r="B662" s="19"/>
      <c r="C662" s="19" t="s">
        <v>820</v>
      </c>
      <c r="D662" s="19"/>
      <c r="E662" s="172">
        <f>SUM(E661)</f>
        <v>38000</v>
      </c>
      <c r="F662" s="172">
        <f t="shared" ref="F662:I662" si="118">SUM(F661)</f>
        <v>0</v>
      </c>
      <c r="G662" s="172">
        <f t="shared" si="118"/>
        <v>60488.65</v>
      </c>
      <c r="H662" s="172">
        <f t="shared" si="118"/>
        <v>65529.370833333342</v>
      </c>
      <c r="I662" s="172">
        <f t="shared" si="118"/>
        <v>130000</v>
      </c>
      <c r="J662" s="95"/>
      <c r="K662"/>
    </row>
    <row r="663" spans="1:11" ht="15.75" thickTop="1">
      <c r="A663" s="19"/>
      <c r="B663" s="19"/>
      <c r="C663" s="41"/>
      <c r="D663" s="19"/>
      <c r="E663" s="20"/>
      <c r="F663" s="20"/>
      <c r="G663" s="20"/>
      <c r="H663" s="20"/>
      <c r="I663" s="20"/>
      <c r="J663" s="95"/>
      <c r="K663"/>
    </row>
    <row r="664" spans="1:11">
      <c r="A664" s="19"/>
      <c r="B664" s="19"/>
      <c r="C664" s="19" t="s">
        <v>205</v>
      </c>
      <c r="D664" s="19"/>
      <c r="E664" s="20"/>
      <c r="F664" s="20"/>
      <c r="G664" s="20"/>
      <c r="H664" s="20"/>
      <c r="I664" s="20"/>
      <c r="J664" s="95"/>
      <c r="K664"/>
    </row>
    <row r="665" spans="1:11">
      <c r="A665" s="19" t="s">
        <v>1272</v>
      </c>
      <c r="B665" s="19" t="s">
        <v>1054</v>
      </c>
      <c r="C665" s="19" t="s">
        <v>227</v>
      </c>
      <c r="D665" s="19"/>
      <c r="E665" s="32">
        <v>0</v>
      </c>
      <c r="F665" s="32">
        <v>0</v>
      </c>
      <c r="G665" s="32">
        <v>0</v>
      </c>
      <c r="H665" s="32">
        <v>0</v>
      </c>
      <c r="I665" s="32">
        <v>0</v>
      </c>
      <c r="J665" s="95"/>
      <c r="K665"/>
    </row>
    <row r="666" spans="1:11">
      <c r="A666" s="19" t="s">
        <v>382</v>
      </c>
      <c r="B666" s="19"/>
      <c r="C666" s="19" t="s">
        <v>215</v>
      </c>
      <c r="D666" s="19"/>
      <c r="E666" s="32">
        <v>3439</v>
      </c>
      <c r="F666" s="32">
        <v>0</v>
      </c>
      <c r="G666" s="32">
        <v>4858.0200000000004</v>
      </c>
      <c r="H666" s="32">
        <f>H662*0.0765</f>
        <v>5012.9968687500004</v>
      </c>
      <c r="I666" s="32">
        <f>44960*0.0765</f>
        <v>3439.44</v>
      </c>
      <c r="J666" s="95"/>
      <c r="K666"/>
    </row>
    <row r="667" spans="1:11">
      <c r="A667" s="19" t="s">
        <v>1273</v>
      </c>
      <c r="B667" s="19" t="s">
        <v>1054</v>
      </c>
      <c r="C667" s="19" t="s">
        <v>231</v>
      </c>
      <c r="D667" s="19"/>
      <c r="E667" s="32">
        <v>0</v>
      </c>
      <c r="F667" s="32">
        <v>0</v>
      </c>
      <c r="G667" s="32">
        <v>0</v>
      </c>
      <c r="H667" s="32">
        <v>0</v>
      </c>
      <c r="I667" s="32">
        <v>0</v>
      </c>
      <c r="J667" s="95"/>
      <c r="K667"/>
    </row>
    <row r="668" spans="1:11">
      <c r="A668" s="19" t="s">
        <v>1226</v>
      </c>
      <c r="B668" s="19" t="s">
        <v>1054</v>
      </c>
      <c r="C668" s="19" t="s">
        <v>1219</v>
      </c>
      <c r="D668" s="19"/>
      <c r="E668" s="32">
        <v>0</v>
      </c>
      <c r="F668" s="32">
        <v>0</v>
      </c>
      <c r="G668" s="32">
        <v>0</v>
      </c>
      <c r="H668" s="32">
        <v>0</v>
      </c>
      <c r="I668" s="32">
        <v>0</v>
      </c>
      <c r="J668" s="95"/>
      <c r="K668"/>
    </row>
    <row r="669" spans="1:11">
      <c r="A669" s="19" t="s">
        <v>1274</v>
      </c>
      <c r="B669" s="19" t="s">
        <v>1054</v>
      </c>
      <c r="C669" s="19" t="s">
        <v>234</v>
      </c>
      <c r="D669" s="19"/>
      <c r="E669" s="32">
        <v>0</v>
      </c>
      <c r="F669" s="32">
        <v>0</v>
      </c>
      <c r="G669" s="32">
        <v>0</v>
      </c>
      <c r="H669" s="32">
        <v>0</v>
      </c>
      <c r="I669" s="32">
        <v>0</v>
      </c>
      <c r="J669" s="95"/>
      <c r="K669"/>
    </row>
    <row r="670" spans="1:11" ht="15.75" thickBot="1">
      <c r="A670" s="19" t="s">
        <v>13</v>
      </c>
      <c r="B670" s="19"/>
      <c r="C670" s="19" t="s">
        <v>829</v>
      </c>
      <c r="D670" s="19"/>
      <c r="E670" s="172">
        <f>SUM(E665:E669)</f>
        <v>3439</v>
      </c>
      <c r="F670" s="172">
        <f t="shared" ref="F670:I670" si="119">SUM(F665:F669)</f>
        <v>0</v>
      </c>
      <c r="G670" s="172">
        <f t="shared" si="119"/>
        <v>4858.0200000000004</v>
      </c>
      <c r="H670" s="172">
        <f t="shared" si="119"/>
        <v>5012.9968687500004</v>
      </c>
      <c r="I670" s="172">
        <f t="shared" si="119"/>
        <v>3439.44</v>
      </c>
      <c r="J670" s="95"/>
      <c r="K670"/>
    </row>
    <row r="671" spans="1:11" ht="15.75" thickTop="1">
      <c r="A671" s="19"/>
      <c r="B671" s="19"/>
      <c r="C671" s="19"/>
      <c r="D671" s="19"/>
      <c r="E671" s="32"/>
      <c r="F671" s="32"/>
      <c r="G671" s="32"/>
      <c r="H671" s="32"/>
      <c r="I671" s="32"/>
      <c r="J671" s="95"/>
      <c r="K671"/>
    </row>
    <row r="672" spans="1:11" s="3" customFormat="1" ht="15.75" thickBot="1">
      <c r="A672" s="41" t="s">
        <v>13</v>
      </c>
      <c r="B672" s="41"/>
      <c r="C672" s="41" t="s">
        <v>814</v>
      </c>
      <c r="D672" s="41"/>
      <c r="E672" s="167">
        <f>E662+E670</f>
        <v>41439</v>
      </c>
      <c r="F672" s="167">
        <f t="shared" ref="F672:I672" si="120">F662+F670</f>
        <v>0</v>
      </c>
      <c r="G672" s="167">
        <f t="shared" si="120"/>
        <v>65346.67</v>
      </c>
      <c r="H672" s="167">
        <f t="shared" si="120"/>
        <v>70542.367702083342</v>
      </c>
      <c r="I672" s="167">
        <f t="shared" si="120"/>
        <v>133439.44</v>
      </c>
      <c r="J672" s="164"/>
    </row>
    <row r="673" spans="1:11" ht="15.75" thickTop="1">
      <c r="A673" s="19"/>
      <c r="B673" s="19"/>
      <c r="C673" s="19"/>
      <c r="D673" s="19"/>
      <c r="E673" s="32"/>
      <c r="F673" s="32"/>
      <c r="G673" s="32"/>
      <c r="H673" s="32"/>
      <c r="I673" s="32"/>
      <c r="J673" s="95"/>
      <c r="K673"/>
    </row>
    <row r="674" spans="1:11">
      <c r="A674" s="19" t="s">
        <v>13</v>
      </c>
      <c r="B674" s="19"/>
      <c r="C674" s="19" t="s">
        <v>210</v>
      </c>
      <c r="D674" s="19"/>
      <c r="E674" s="32" t="s">
        <v>13</v>
      </c>
      <c r="F674" s="32" t="s">
        <v>13</v>
      </c>
      <c r="G674" s="32" t="s">
        <v>13</v>
      </c>
      <c r="H674" s="32" t="s">
        <v>13</v>
      </c>
      <c r="I674" s="32" t="s">
        <v>13</v>
      </c>
      <c r="J674" s="168"/>
    </row>
    <row r="675" spans="1:11">
      <c r="A675" s="19" t="s">
        <v>1243</v>
      </c>
      <c r="B675" s="19" t="s">
        <v>1054</v>
      </c>
      <c r="C675" s="19" t="s">
        <v>247</v>
      </c>
      <c r="D675" s="19"/>
      <c r="E675" s="32">
        <v>0</v>
      </c>
      <c r="F675" s="32">
        <v>0</v>
      </c>
      <c r="G675" s="32"/>
      <c r="H675" s="32"/>
      <c r="I675" s="32"/>
      <c r="J675" s="168"/>
    </row>
    <row r="676" spans="1:11">
      <c r="A676" s="19" t="s">
        <v>383</v>
      </c>
      <c r="B676" s="19"/>
      <c r="C676" s="19" t="s">
        <v>1275</v>
      </c>
      <c r="D676" s="19"/>
      <c r="E676" s="32">
        <v>5250</v>
      </c>
      <c r="F676" s="32">
        <v>0</v>
      </c>
      <c r="G676" s="32">
        <v>1701.97</v>
      </c>
      <c r="H676" s="32">
        <f>(G676/11)*12</f>
        <v>1856.6945454545453</v>
      </c>
      <c r="I676" s="32">
        <v>3000</v>
      </c>
      <c r="J676" s="95"/>
      <c r="K676"/>
    </row>
    <row r="677" spans="1:11">
      <c r="A677" s="19" t="s">
        <v>1244</v>
      </c>
      <c r="B677" s="19" t="s">
        <v>1054</v>
      </c>
      <c r="C677" s="19" t="s">
        <v>251</v>
      </c>
      <c r="D677" s="19"/>
      <c r="E677" s="32">
        <v>0</v>
      </c>
      <c r="F677" s="32">
        <v>0</v>
      </c>
      <c r="G677" s="32"/>
      <c r="H677" s="32"/>
      <c r="I677" s="32"/>
      <c r="J677" s="95"/>
      <c r="K677"/>
    </row>
    <row r="678" spans="1:11">
      <c r="A678" s="19" t="s">
        <v>1015</v>
      </c>
      <c r="B678" s="19" t="s">
        <v>1054</v>
      </c>
      <c r="C678" s="19" t="s">
        <v>1016</v>
      </c>
      <c r="D678" s="19"/>
      <c r="E678" s="32">
        <v>0</v>
      </c>
      <c r="F678" s="32">
        <v>0</v>
      </c>
      <c r="G678" s="32">
        <v>420.96</v>
      </c>
      <c r="H678" s="32">
        <f>(G678/11)*12</f>
        <v>459.22909090909087</v>
      </c>
      <c r="I678" s="32">
        <v>660</v>
      </c>
      <c r="J678" s="95"/>
      <c r="K678"/>
    </row>
    <row r="679" spans="1:11">
      <c r="A679" s="19" t="s">
        <v>1010</v>
      </c>
      <c r="B679" s="19" t="s">
        <v>1054</v>
      </c>
      <c r="C679" s="19" t="s">
        <v>967</v>
      </c>
      <c r="D679" s="19"/>
      <c r="E679" s="32">
        <v>0</v>
      </c>
      <c r="F679" s="32">
        <v>0</v>
      </c>
      <c r="G679" s="32">
        <v>2940</v>
      </c>
      <c r="H679" s="32">
        <v>2940</v>
      </c>
      <c r="I679" s="32">
        <v>2940</v>
      </c>
      <c r="J679" s="95" t="s">
        <v>968</v>
      </c>
      <c r="K679"/>
    </row>
    <row r="680" spans="1:11" s="3" customFormat="1" ht="15.75" thickBot="1">
      <c r="A680" s="41" t="s">
        <v>13</v>
      </c>
      <c r="B680" s="41"/>
      <c r="C680" s="41" t="s">
        <v>816</v>
      </c>
      <c r="D680" s="41"/>
      <c r="E680" s="167">
        <f>SUM(E675:E679)</f>
        <v>5250</v>
      </c>
      <c r="F680" s="167">
        <f t="shared" ref="F680:I680" si="121">SUM(F675:F679)</f>
        <v>0</v>
      </c>
      <c r="G680" s="167">
        <f t="shared" si="121"/>
        <v>5062.93</v>
      </c>
      <c r="H680" s="167">
        <f t="shared" si="121"/>
        <v>5255.9236363636355</v>
      </c>
      <c r="I680" s="167">
        <f t="shared" si="121"/>
        <v>6600</v>
      </c>
      <c r="J680" s="164"/>
    </row>
    <row r="681" spans="1:11" ht="15.75" thickTop="1">
      <c r="A681" s="19" t="s">
        <v>13</v>
      </c>
      <c r="B681" s="19"/>
      <c r="C681" s="19" t="s">
        <v>13</v>
      </c>
      <c r="D681" s="19" t="s">
        <v>13</v>
      </c>
      <c r="E681" s="32" t="s">
        <v>13</v>
      </c>
      <c r="F681" s="32" t="s">
        <v>13</v>
      </c>
      <c r="G681" s="32" t="s">
        <v>13</v>
      </c>
      <c r="H681" s="32" t="s">
        <v>13</v>
      </c>
      <c r="I681" s="32" t="s">
        <v>13</v>
      </c>
      <c r="J681" s="95"/>
      <c r="K681"/>
    </row>
    <row r="682" spans="1:11">
      <c r="A682" s="19" t="s">
        <v>13</v>
      </c>
      <c r="B682" s="19"/>
      <c r="C682" s="19" t="s">
        <v>212</v>
      </c>
      <c r="D682" s="19"/>
      <c r="E682" s="32" t="s">
        <v>13</v>
      </c>
      <c r="F682" s="32" t="s">
        <v>13</v>
      </c>
      <c r="G682" s="32" t="s">
        <v>13</v>
      </c>
      <c r="H682" s="32" t="s">
        <v>13</v>
      </c>
      <c r="I682" s="32" t="s">
        <v>13</v>
      </c>
      <c r="J682" s="95"/>
      <c r="K682"/>
    </row>
    <row r="683" spans="1:11">
      <c r="A683" s="19" t="s">
        <v>384</v>
      </c>
      <c r="B683" s="19" t="s">
        <v>1054</v>
      </c>
      <c r="C683" s="19" t="s">
        <v>942</v>
      </c>
      <c r="D683" s="19"/>
      <c r="E683" s="32">
        <v>3000</v>
      </c>
      <c r="F683" s="32">
        <v>0</v>
      </c>
      <c r="G683" s="32">
        <v>3314.19</v>
      </c>
      <c r="H683" s="32">
        <f>(G683/11)*12</f>
        <v>3615.4800000000005</v>
      </c>
      <c r="I683" s="32">
        <v>3000</v>
      </c>
      <c r="J683" s="95"/>
      <c r="K683"/>
    </row>
    <row r="684" spans="1:11">
      <c r="A684" s="19" t="s">
        <v>1090</v>
      </c>
      <c r="B684" s="19" t="s">
        <v>1054</v>
      </c>
      <c r="C684" s="19" t="s">
        <v>969</v>
      </c>
      <c r="D684" s="19"/>
      <c r="E684" s="32">
        <v>0</v>
      </c>
      <c r="F684" s="32">
        <v>0</v>
      </c>
      <c r="G684" s="32">
        <v>0</v>
      </c>
      <c r="H684" s="32">
        <f t="shared" ref="H684:H686" si="122">(G684/11)*12</f>
        <v>0</v>
      </c>
      <c r="I684" s="32">
        <v>4000</v>
      </c>
      <c r="J684" s="95"/>
      <c r="K684"/>
    </row>
    <row r="685" spans="1:11">
      <c r="A685" s="19" t="s">
        <v>386</v>
      </c>
      <c r="B685" s="19" t="s">
        <v>1054</v>
      </c>
      <c r="C685" s="19" t="s">
        <v>1091</v>
      </c>
      <c r="D685" s="19"/>
      <c r="E685" s="32">
        <v>2000</v>
      </c>
      <c r="F685" s="32">
        <v>0</v>
      </c>
      <c r="G685" s="32">
        <v>1856.15</v>
      </c>
      <c r="H685" s="32">
        <f t="shared" si="122"/>
        <v>2024.8909090909092</v>
      </c>
      <c r="I685" s="32">
        <v>2000</v>
      </c>
      <c r="J685" s="95"/>
      <c r="K685"/>
    </row>
    <row r="686" spans="1:11">
      <c r="A686" s="19" t="s">
        <v>1092</v>
      </c>
      <c r="B686" s="19" t="s">
        <v>1054</v>
      </c>
      <c r="C686" s="19" t="s">
        <v>365</v>
      </c>
      <c r="D686" s="19"/>
      <c r="E686" s="32">
        <v>2500</v>
      </c>
      <c r="F686" s="32">
        <v>0</v>
      </c>
      <c r="G686" s="32">
        <v>1960.46</v>
      </c>
      <c r="H686" s="32">
        <f t="shared" si="122"/>
        <v>2138.6836363636362</v>
      </c>
      <c r="I686" s="37">
        <v>3750</v>
      </c>
      <c r="J686" s="95"/>
      <c r="K686"/>
    </row>
    <row r="687" spans="1:11" s="3" customFormat="1" ht="15.75" thickBot="1">
      <c r="A687" s="41" t="s">
        <v>13</v>
      </c>
      <c r="B687" s="41"/>
      <c r="C687" s="41" t="s">
        <v>833</v>
      </c>
      <c r="D687" s="41"/>
      <c r="E687" s="167">
        <f>SUM(E683:E686)</f>
        <v>7500</v>
      </c>
      <c r="F687" s="167">
        <f t="shared" ref="F687:I687" si="123">SUM(F683:F686)</f>
        <v>0</v>
      </c>
      <c r="G687" s="167">
        <f t="shared" si="123"/>
        <v>7130.8</v>
      </c>
      <c r="H687" s="167">
        <f t="shared" si="123"/>
        <v>7779.0545454545463</v>
      </c>
      <c r="I687" s="167">
        <f t="shared" si="123"/>
        <v>12750</v>
      </c>
      <c r="J687" s="164"/>
    </row>
    <row r="688" spans="1:11" ht="15.75" thickTop="1">
      <c r="A688" s="19"/>
      <c r="B688" s="19"/>
      <c r="C688" s="19"/>
      <c r="D688" s="19"/>
      <c r="E688" s="32"/>
      <c r="F688" s="32"/>
      <c r="G688" s="32"/>
      <c r="H688" s="32"/>
      <c r="I688" s="32"/>
      <c r="J688" s="168"/>
    </row>
    <row r="689" spans="1:11">
      <c r="A689" s="19"/>
      <c r="B689" s="19"/>
      <c r="C689" s="19" t="s">
        <v>223</v>
      </c>
      <c r="D689" s="19"/>
      <c r="E689" s="20"/>
      <c r="F689" s="20"/>
      <c r="G689" s="20"/>
      <c r="H689" s="20"/>
      <c r="I689" s="20"/>
      <c r="J689" s="168"/>
    </row>
    <row r="690" spans="1:11">
      <c r="A690" s="19" t="s">
        <v>1203</v>
      </c>
      <c r="B690" s="19" t="s">
        <v>1054</v>
      </c>
      <c r="C690" s="19" t="s">
        <v>1204</v>
      </c>
      <c r="D690" s="19"/>
      <c r="E690" s="32">
        <v>0</v>
      </c>
      <c r="F690" s="32">
        <v>0</v>
      </c>
      <c r="G690" s="32">
        <v>0</v>
      </c>
      <c r="H690" s="32">
        <f t="shared" ref="H690" si="124">(G690/11)*12</f>
        <v>0</v>
      </c>
      <c r="I690" s="32">
        <v>500</v>
      </c>
      <c r="J690" s="168"/>
    </row>
    <row r="691" spans="1:11">
      <c r="A691" s="19" t="s">
        <v>970</v>
      </c>
      <c r="B691" s="19" t="s">
        <v>1054</v>
      </c>
      <c r="C691" s="19" t="s">
        <v>325</v>
      </c>
      <c r="D691" s="19"/>
      <c r="E691" s="32">
        <v>0</v>
      </c>
      <c r="F691" s="32">
        <v>0</v>
      </c>
      <c r="G691" s="32">
        <v>0</v>
      </c>
      <c r="H691" s="32">
        <f t="shared" ref="H691:H693" si="125">(G691/11)*12</f>
        <v>0</v>
      </c>
      <c r="I691" s="32">
        <v>500</v>
      </c>
      <c r="J691" s="95"/>
      <c r="K691"/>
    </row>
    <row r="692" spans="1:11">
      <c r="A692" s="19" t="s">
        <v>971</v>
      </c>
      <c r="B692" s="19" t="s">
        <v>1054</v>
      </c>
      <c r="C692" s="19" t="s">
        <v>973</v>
      </c>
      <c r="D692" s="19"/>
      <c r="E692" s="32">
        <v>0</v>
      </c>
      <c r="F692" s="32">
        <v>0</v>
      </c>
      <c r="G692" s="32">
        <v>1788.64</v>
      </c>
      <c r="H692" s="32">
        <f t="shared" si="125"/>
        <v>1951.2436363636366</v>
      </c>
      <c r="I692" s="32">
        <v>2000</v>
      </c>
      <c r="J692" s="95"/>
      <c r="K692"/>
    </row>
    <row r="693" spans="1:11">
      <c r="A693" s="19" t="s">
        <v>972</v>
      </c>
      <c r="B693" s="19" t="s">
        <v>1054</v>
      </c>
      <c r="C693" s="19" t="s">
        <v>370</v>
      </c>
      <c r="D693" s="19"/>
      <c r="E693" s="32">
        <v>0</v>
      </c>
      <c r="F693" s="32">
        <v>0</v>
      </c>
      <c r="G693" s="32">
        <v>0</v>
      </c>
      <c r="H693" s="32">
        <f t="shared" si="125"/>
        <v>0</v>
      </c>
      <c r="I693" s="32">
        <v>1000</v>
      </c>
      <c r="J693" s="95"/>
      <c r="K693"/>
    </row>
    <row r="694" spans="1:11" s="3" customFormat="1" ht="15.75" thickBot="1">
      <c r="A694" s="41"/>
      <c r="B694" s="41"/>
      <c r="C694" s="41" t="s">
        <v>822</v>
      </c>
      <c r="D694" s="41"/>
      <c r="E694" s="167">
        <f>SUM(E690:E693)</f>
        <v>0</v>
      </c>
      <c r="F694" s="167">
        <f t="shared" ref="F694:I694" si="126">SUM(F690:F693)</f>
        <v>0</v>
      </c>
      <c r="G694" s="167">
        <f t="shared" si="126"/>
        <v>1788.64</v>
      </c>
      <c r="H694" s="167">
        <f t="shared" si="126"/>
        <v>1951.2436363636366</v>
      </c>
      <c r="I694" s="167">
        <f t="shared" si="126"/>
        <v>4000</v>
      </c>
      <c r="J694" s="164"/>
    </row>
    <row r="695" spans="1:11" ht="15.75" thickTop="1">
      <c r="A695" s="19"/>
      <c r="B695" s="19"/>
      <c r="C695" s="19"/>
      <c r="D695" s="19"/>
      <c r="E695" s="32"/>
      <c r="F695" s="32"/>
      <c r="G695" s="32"/>
      <c r="H695" s="32"/>
      <c r="I695" s="32"/>
      <c r="J695" s="95"/>
      <c r="K695"/>
    </row>
    <row r="696" spans="1:11">
      <c r="A696" s="19" t="s">
        <v>13</v>
      </c>
      <c r="B696" s="19"/>
      <c r="C696" s="19" t="s">
        <v>380</v>
      </c>
      <c r="D696" s="19"/>
      <c r="E696" s="32" t="s">
        <v>13</v>
      </c>
      <c r="F696" s="32" t="s">
        <v>13</v>
      </c>
      <c r="G696" s="32" t="s">
        <v>13</v>
      </c>
      <c r="H696" s="32" t="s">
        <v>13</v>
      </c>
      <c r="I696" s="32" t="s">
        <v>13</v>
      </c>
      <c r="J696" s="95"/>
      <c r="K696"/>
    </row>
    <row r="697" spans="1:11">
      <c r="A697" s="19" t="s">
        <v>1093</v>
      </c>
      <c r="B697" s="19" t="s">
        <v>1054</v>
      </c>
      <c r="C697" s="19" t="s">
        <v>727</v>
      </c>
      <c r="D697" s="19"/>
      <c r="E697" s="32">
        <v>500</v>
      </c>
      <c r="F697" s="32">
        <v>0</v>
      </c>
      <c r="G697" s="32">
        <v>241.5</v>
      </c>
      <c r="H697" s="32">
        <f>(G697/11)*12</f>
        <v>263.45454545454544</v>
      </c>
      <c r="I697" s="32">
        <v>500</v>
      </c>
      <c r="J697" s="95"/>
      <c r="K697"/>
    </row>
    <row r="698" spans="1:11">
      <c r="A698" s="19" t="s">
        <v>1094</v>
      </c>
      <c r="B698" s="19" t="s">
        <v>1054</v>
      </c>
      <c r="C698" s="19" t="s">
        <v>346</v>
      </c>
      <c r="D698" s="19"/>
      <c r="E698" s="32">
        <v>0</v>
      </c>
      <c r="F698" s="32">
        <v>0</v>
      </c>
      <c r="G698" s="32">
        <v>1295.3800000000001</v>
      </c>
      <c r="H698" s="32">
        <f t="shared" ref="H698:H699" si="127">(G698/11)*12</f>
        <v>1413.1418181818183</v>
      </c>
      <c r="I698" s="32">
        <v>750</v>
      </c>
      <c r="J698" s="95"/>
      <c r="K698"/>
    </row>
    <row r="699" spans="1:11">
      <c r="A699" s="19" t="s">
        <v>388</v>
      </c>
      <c r="B699" s="19" t="s">
        <v>1054</v>
      </c>
      <c r="C699" s="19" t="s">
        <v>389</v>
      </c>
      <c r="D699" s="19"/>
      <c r="E699" s="32">
        <v>7000</v>
      </c>
      <c r="F699" s="32">
        <v>0</v>
      </c>
      <c r="G699" s="32">
        <v>4850</v>
      </c>
      <c r="H699" s="32">
        <f t="shared" si="127"/>
        <v>5290.909090909091</v>
      </c>
      <c r="I699" s="32">
        <v>7000</v>
      </c>
      <c r="J699" s="95" t="s">
        <v>13</v>
      </c>
      <c r="K699"/>
    </row>
    <row r="700" spans="1:11">
      <c r="A700" s="19" t="s">
        <v>1095</v>
      </c>
      <c r="B700" s="19" t="s">
        <v>1054</v>
      </c>
      <c r="C700" s="19" t="s">
        <v>385</v>
      </c>
      <c r="D700" s="19"/>
      <c r="E700" s="32">
        <v>200</v>
      </c>
      <c r="F700" s="32">
        <v>0</v>
      </c>
      <c r="G700" s="32">
        <v>477</v>
      </c>
      <c r="H700" s="32">
        <v>427</v>
      </c>
      <c r="I700" s="32">
        <v>200</v>
      </c>
      <c r="J700" s="95"/>
      <c r="K700"/>
    </row>
    <row r="701" spans="1:11">
      <c r="A701" s="19" t="s">
        <v>390</v>
      </c>
      <c r="B701" s="19"/>
      <c r="C701" s="19" t="s">
        <v>391</v>
      </c>
      <c r="D701" s="19"/>
      <c r="E701" s="32">
        <v>1500</v>
      </c>
      <c r="F701" s="32">
        <v>0</v>
      </c>
      <c r="G701" s="32">
        <v>1427.5</v>
      </c>
      <c r="H701" s="32">
        <f>(G701/11)*12</f>
        <v>1557.2727272727275</v>
      </c>
      <c r="I701" s="32">
        <v>1500</v>
      </c>
      <c r="J701" s="95" t="s">
        <v>13</v>
      </c>
      <c r="K701"/>
    </row>
    <row r="702" spans="1:11">
      <c r="A702" s="19" t="s">
        <v>393</v>
      </c>
      <c r="B702" s="19"/>
      <c r="C702" s="19" t="s">
        <v>392</v>
      </c>
      <c r="D702" s="19"/>
      <c r="E702" s="32">
        <v>2000</v>
      </c>
      <c r="F702" s="32">
        <v>0</v>
      </c>
      <c r="G702" s="32">
        <v>0</v>
      </c>
      <c r="H702" s="32">
        <v>0</v>
      </c>
      <c r="I702" s="32">
        <v>2000</v>
      </c>
      <c r="J702" s="95"/>
      <c r="K702"/>
    </row>
    <row r="703" spans="1:11">
      <c r="A703" s="19" t="s">
        <v>394</v>
      </c>
      <c r="B703" s="19"/>
      <c r="C703" s="19" t="s">
        <v>395</v>
      </c>
      <c r="D703" s="19"/>
      <c r="E703" s="32">
        <v>1000</v>
      </c>
      <c r="F703" s="32">
        <v>0</v>
      </c>
      <c r="G703" s="32">
        <v>198.5</v>
      </c>
      <c r="H703" s="32">
        <v>198.5</v>
      </c>
      <c r="I703" s="32">
        <v>1000</v>
      </c>
      <c r="J703" s="95"/>
      <c r="K703"/>
    </row>
    <row r="704" spans="1:11">
      <c r="A704" s="19" t="s">
        <v>1096</v>
      </c>
      <c r="B704" s="19" t="s">
        <v>1054</v>
      </c>
      <c r="C704" s="19" t="s">
        <v>387</v>
      </c>
      <c r="D704" s="19"/>
      <c r="E704" s="32">
        <v>1300</v>
      </c>
      <c r="F704" s="32">
        <v>0</v>
      </c>
      <c r="G704" s="32">
        <v>717.16</v>
      </c>
      <c r="H704" s="32">
        <v>717.16</v>
      </c>
      <c r="I704" s="32">
        <v>1300</v>
      </c>
      <c r="J704" s="95"/>
      <c r="K704"/>
    </row>
    <row r="705" spans="1:11">
      <c r="A705" s="19" t="s">
        <v>1097</v>
      </c>
      <c r="B705" s="19" t="s">
        <v>1054</v>
      </c>
      <c r="C705" s="19" t="s">
        <v>396</v>
      </c>
      <c r="D705" s="19"/>
      <c r="E705" s="32">
        <v>500</v>
      </c>
      <c r="F705" s="32">
        <v>0</v>
      </c>
      <c r="G705" s="32">
        <v>0</v>
      </c>
      <c r="H705" s="32">
        <f t="shared" ref="H705" si="128">(G705/9)*12</f>
        <v>0</v>
      </c>
      <c r="I705" s="32">
        <v>500</v>
      </c>
      <c r="J705" s="95"/>
      <c r="K705"/>
    </row>
    <row r="706" spans="1:11" s="3" customFormat="1" ht="15.75" thickBot="1">
      <c r="A706" s="41" t="s">
        <v>13</v>
      </c>
      <c r="B706" s="41"/>
      <c r="C706" s="41" t="s">
        <v>848</v>
      </c>
      <c r="D706" s="41"/>
      <c r="E706" s="167">
        <f>SUM(E697:E705)</f>
        <v>14000</v>
      </c>
      <c r="F706" s="167">
        <f t="shared" ref="F706:I706" si="129">SUM(F697:F705)</f>
        <v>0</v>
      </c>
      <c r="G706" s="167">
        <f t="shared" si="129"/>
        <v>9207.0400000000009</v>
      </c>
      <c r="H706" s="167">
        <f t="shared" si="129"/>
        <v>9867.4381818181828</v>
      </c>
      <c r="I706" s="167">
        <f t="shared" si="129"/>
        <v>14750</v>
      </c>
      <c r="J706" s="164"/>
    </row>
    <row r="707" spans="1:11" ht="15.75" thickTop="1">
      <c r="A707" s="19"/>
      <c r="B707" s="19"/>
      <c r="C707" s="19"/>
      <c r="D707" s="19"/>
      <c r="E707" s="32"/>
      <c r="F707" s="32"/>
      <c r="G707" s="32"/>
      <c r="H707" s="32"/>
      <c r="I707" s="32"/>
      <c r="J707" s="168"/>
    </row>
    <row r="708" spans="1:11">
      <c r="A708" s="19" t="s">
        <v>13</v>
      </c>
      <c r="B708" s="19"/>
      <c r="C708" s="19" t="s">
        <v>32</v>
      </c>
      <c r="D708" s="19"/>
      <c r="E708" s="32" t="s">
        <v>13</v>
      </c>
      <c r="F708" s="32" t="s">
        <v>13</v>
      </c>
      <c r="G708" s="32" t="s">
        <v>13</v>
      </c>
      <c r="H708" s="32" t="s">
        <v>13</v>
      </c>
      <c r="I708" s="32" t="s">
        <v>13</v>
      </c>
      <c r="J708" s="95"/>
      <c r="K708"/>
    </row>
    <row r="709" spans="1:11">
      <c r="A709" s="19" t="s">
        <v>450</v>
      </c>
      <c r="B709" s="19"/>
      <c r="C709" s="19" t="s">
        <v>397</v>
      </c>
      <c r="D709" s="19"/>
      <c r="E709" s="32">
        <v>0</v>
      </c>
      <c r="F709" s="32">
        <v>0</v>
      </c>
      <c r="G709" s="32">
        <v>0</v>
      </c>
      <c r="H709" s="32">
        <v>0</v>
      </c>
      <c r="I709" s="32">
        <v>0</v>
      </c>
      <c r="J709" s="95"/>
      <c r="K709"/>
    </row>
    <row r="710" spans="1:11" s="3" customFormat="1" ht="15.75" thickBot="1">
      <c r="A710" s="41" t="s">
        <v>13</v>
      </c>
      <c r="B710" s="41"/>
      <c r="C710" s="41" t="s">
        <v>849</v>
      </c>
      <c r="D710" s="41"/>
      <c r="E710" s="167">
        <f>SUM(E709)</f>
        <v>0</v>
      </c>
      <c r="F710" s="167">
        <f t="shared" ref="F710:I710" si="130">SUM(F709)</f>
        <v>0</v>
      </c>
      <c r="G710" s="167">
        <f t="shared" si="130"/>
        <v>0</v>
      </c>
      <c r="H710" s="167">
        <f t="shared" si="130"/>
        <v>0</v>
      </c>
      <c r="I710" s="167">
        <f t="shared" si="130"/>
        <v>0</v>
      </c>
      <c r="J710" s="164"/>
    </row>
    <row r="711" spans="1:11" ht="15.75" thickTop="1">
      <c r="A711" s="19"/>
      <c r="B711" s="19"/>
      <c r="C711" s="19"/>
      <c r="D711" s="19"/>
      <c r="E711" s="82"/>
      <c r="F711" s="82"/>
      <c r="G711" s="82"/>
      <c r="H711" s="82"/>
      <c r="I711" s="82"/>
      <c r="J711" s="95"/>
      <c r="K711"/>
    </row>
    <row r="712" spans="1:11">
      <c r="A712" s="19"/>
      <c r="B712" s="19"/>
      <c r="C712" s="19" t="s">
        <v>37</v>
      </c>
      <c r="D712" s="19"/>
      <c r="E712" s="82"/>
      <c r="F712" s="82"/>
      <c r="G712" s="82"/>
      <c r="H712" s="82"/>
      <c r="I712" s="82"/>
      <c r="J712" s="95"/>
      <c r="K712"/>
    </row>
    <row r="713" spans="1:11">
      <c r="A713" s="19" t="s">
        <v>737</v>
      </c>
      <c r="B713" s="19"/>
      <c r="C713" s="19" t="s">
        <v>739</v>
      </c>
      <c r="D713" s="19"/>
      <c r="E713" s="32">
        <v>0</v>
      </c>
      <c r="F713" s="32">
        <v>0</v>
      </c>
      <c r="G713" s="32">
        <v>0</v>
      </c>
      <c r="H713" s="32">
        <v>0</v>
      </c>
      <c r="I713" s="32">
        <v>0</v>
      </c>
      <c r="J713" s="95"/>
      <c r="K713"/>
    </row>
    <row r="714" spans="1:11" s="3" customFormat="1" ht="15.75" thickBot="1">
      <c r="A714" s="41"/>
      <c r="B714" s="41"/>
      <c r="C714" s="41" t="s">
        <v>835</v>
      </c>
      <c r="D714" s="41"/>
      <c r="E714" s="167">
        <f>SUM(E713)</f>
        <v>0</v>
      </c>
      <c r="F714" s="167">
        <f t="shared" ref="F714:I714" si="131">SUM(F713)</f>
        <v>0</v>
      </c>
      <c r="G714" s="167">
        <f t="shared" si="131"/>
        <v>0</v>
      </c>
      <c r="H714" s="167">
        <f t="shared" si="131"/>
        <v>0</v>
      </c>
      <c r="I714" s="167">
        <f t="shared" si="131"/>
        <v>0</v>
      </c>
      <c r="J714" s="164"/>
    </row>
    <row r="715" spans="1:11" ht="15.75" thickTop="1">
      <c r="J715" s="95"/>
      <c r="K715"/>
    </row>
    <row r="716" spans="1:11" ht="15.75" thickBot="1">
      <c r="C716" s="18" t="s">
        <v>850</v>
      </c>
      <c r="E716" s="27">
        <f>E672+E680+E687+E694+E706+E710+E714</f>
        <v>68189</v>
      </c>
      <c r="F716" s="27">
        <f>F672+F680+F687+F694+F706+F710+F714</f>
        <v>0</v>
      </c>
      <c r="G716" s="27">
        <f>G672+G680+G687+G694+G706+G710+G714</f>
        <v>88536.080000000016</v>
      </c>
      <c r="H716" s="27">
        <f>H672+H680+H687+H694+H706+H710+H714</f>
        <v>95396.027702083346</v>
      </c>
      <c r="I716" s="27">
        <f>I672+I680+I687+I694+I706+I710+I714</f>
        <v>171539.44</v>
      </c>
      <c r="J716" s="95"/>
      <c r="K716"/>
    </row>
    <row r="717" spans="1:11" ht="15.75" thickTop="1"/>
    <row r="718" spans="1:11">
      <c r="A718" s="19"/>
      <c r="B718" s="19"/>
      <c r="C718" s="19"/>
      <c r="D718" s="19"/>
      <c r="E718" s="20"/>
      <c r="F718" s="20"/>
      <c r="G718" s="20"/>
      <c r="H718" s="20"/>
      <c r="I718" s="20"/>
      <c r="J718" s="168"/>
    </row>
    <row r="719" spans="1:11">
      <c r="A719" s="201" t="s">
        <v>702</v>
      </c>
      <c r="B719" s="201"/>
      <c r="C719" s="201"/>
      <c r="D719" s="201"/>
      <c r="E719" s="201"/>
      <c r="F719" s="201"/>
      <c r="G719" s="201"/>
      <c r="H719" s="201"/>
      <c r="I719" s="201"/>
      <c r="J719" s="201"/>
      <c r="K719"/>
    </row>
    <row r="720" spans="1:11">
      <c r="A720" s="19" t="s">
        <v>13</v>
      </c>
      <c r="B720" s="19"/>
      <c r="C720" s="19" t="s">
        <v>204</v>
      </c>
      <c r="D720" s="19"/>
      <c r="E720" s="32" t="s">
        <v>13</v>
      </c>
      <c r="F720" s="32" t="s">
        <v>13</v>
      </c>
      <c r="G720" s="32" t="s">
        <v>13</v>
      </c>
      <c r="H720" s="32" t="s">
        <v>13</v>
      </c>
      <c r="I720" s="32" t="s">
        <v>13</v>
      </c>
      <c r="J720" s="168"/>
    </row>
    <row r="721" spans="1:11">
      <c r="A721" s="19" t="s">
        <v>399</v>
      </c>
      <c r="B721" s="19"/>
      <c r="C721" s="19" t="s">
        <v>877</v>
      </c>
      <c r="D721" s="19"/>
      <c r="E721" s="32">
        <v>24000</v>
      </c>
      <c r="F721" s="32">
        <v>0</v>
      </c>
      <c r="G721" s="32">
        <v>19646.13</v>
      </c>
      <c r="H721" s="32">
        <v>19646.13</v>
      </c>
      <c r="I721" s="32">
        <v>25000</v>
      </c>
      <c r="J721" s="95"/>
      <c r="K721"/>
    </row>
    <row r="722" spans="1:11" ht="15.75" thickBot="1">
      <c r="A722" s="19" t="s">
        <v>13</v>
      </c>
      <c r="B722" s="19"/>
      <c r="C722" s="19" t="s">
        <v>820</v>
      </c>
      <c r="D722" s="19"/>
      <c r="E722" s="172">
        <f>SUM(E721)</f>
        <v>24000</v>
      </c>
      <c r="F722" s="172">
        <f t="shared" ref="F722:I722" si="132">SUM(F721)</f>
        <v>0</v>
      </c>
      <c r="G722" s="172">
        <f t="shared" si="132"/>
        <v>19646.13</v>
      </c>
      <c r="H722" s="172">
        <f t="shared" si="132"/>
        <v>19646.13</v>
      </c>
      <c r="I722" s="172">
        <f t="shared" si="132"/>
        <v>25000</v>
      </c>
      <c r="J722" s="95"/>
      <c r="K722"/>
    </row>
    <row r="723" spans="1:11" ht="15.75" thickTop="1">
      <c r="A723" s="19"/>
      <c r="B723" s="19"/>
      <c r="C723" s="19"/>
      <c r="D723" s="19"/>
      <c r="E723" s="32"/>
      <c r="F723" s="32"/>
      <c r="G723" s="32"/>
      <c r="H723" s="32"/>
      <c r="I723" s="32"/>
      <c r="J723" s="95"/>
      <c r="K723"/>
    </row>
    <row r="724" spans="1:11">
      <c r="A724" s="19" t="s">
        <v>13</v>
      </c>
      <c r="B724" s="19"/>
      <c r="C724" s="19" t="s">
        <v>205</v>
      </c>
      <c r="D724" s="19"/>
      <c r="E724" s="32" t="s">
        <v>13</v>
      </c>
      <c r="F724" s="32" t="s">
        <v>13</v>
      </c>
      <c r="G724" s="32" t="s">
        <v>13</v>
      </c>
      <c r="H724" s="32" t="s">
        <v>13</v>
      </c>
      <c r="I724" s="32" t="s">
        <v>13</v>
      </c>
      <c r="J724" s="95"/>
      <c r="K724"/>
    </row>
    <row r="725" spans="1:11">
      <c r="A725" s="19" t="s">
        <v>400</v>
      </c>
      <c r="B725" s="19"/>
      <c r="C725" s="19" t="s">
        <v>215</v>
      </c>
      <c r="D725" s="19"/>
      <c r="E725" s="32">
        <v>1836</v>
      </c>
      <c r="F725" s="32">
        <v>0</v>
      </c>
      <c r="G725" s="32">
        <v>1330.29</v>
      </c>
      <c r="H725" s="32">
        <v>1330.29</v>
      </c>
      <c r="I725" s="32">
        <f>I722*0.0765</f>
        <v>1912.5</v>
      </c>
      <c r="J725" s="95"/>
      <c r="K725"/>
    </row>
    <row r="726" spans="1:11">
      <c r="A726" s="19" t="s">
        <v>1276</v>
      </c>
      <c r="B726" s="19" t="s">
        <v>1054</v>
      </c>
      <c r="C726" s="19" t="s">
        <v>231</v>
      </c>
      <c r="D726" s="19"/>
      <c r="E726" s="32">
        <v>0</v>
      </c>
      <c r="F726" s="32">
        <v>0</v>
      </c>
      <c r="G726" s="32">
        <v>0</v>
      </c>
      <c r="H726" s="32">
        <v>0</v>
      </c>
      <c r="I726" s="32">
        <v>0</v>
      </c>
      <c r="J726" s="95"/>
      <c r="K726"/>
    </row>
    <row r="727" spans="1:11">
      <c r="A727" s="19" t="s">
        <v>1227</v>
      </c>
      <c r="B727" s="19" t="s">
        <v>1054</v>
      </c>
      <c r="C727" s="19" t="s">
        <v>1219</v>
      </c>
      <c r="D727" s="19"/>
      <c r="E727" s="32">
        <v>0</v>
      </c>
      <c r="F727" s="32">
        <v>0</v>
      </c>
      <c r="G727" s="32"/>
      <c r="H727" s="32"/>
      <c r="I727" s="32"/>
      <c r="J727" s="95"/>
      <c r="K727"/>
    </row>
    <row r="728" spans="1:11" ht="15.75" thickBot="1">
      <c r="A728" s="19" t="s">
        <v>13</v>
      </c>
      <c r="B728" s="19"/>
      <c r="C728" s="19" t="s">
        <v>821</v>
      </c>
      <c r="D728" s="19"/>
      <c r="E728" s="172">
        <f>SUM(E725:E727)</f>
        <v>1836</v>
      </c>
      <c r="F728" s="172">
        <f t="shared" ref="F728:I728" si="133">SUM(F725:F727)</f>
        <v>0</v>
      </c>
      <c r="G728" s="172">
        <f t="shared" si="133"/>
        <v>1330.29</v>
      </c>
      <c r="H728" s="172">
        <f t="shared" si="133"/>
        <v>1330.29</v>
      </c>
      <c r="I728" s="172">
        <f t="shared" si="133"/>
        <v>1912.5</v>
      </c>
      <c r="J728" s="95"/>
      <c r="K728"/>
    </row>
    <row r="729" spans="1:11" ht="15.75" thickTop="1">
      <c r="A729" s="19"/>
      <c r="B729" s="19"/>
      <c r="C729" s="19"/>
      <c r="D729" s="19"/>
      <c r="E729" s="32"/>
      <c r="F729" s="32"/>
      <c r="G729" s="32"/>
      <c r="H729" s="32"/>
      <c r="I729" s="32"/>
      <c r="J729" s="95"/>
      <c r="K729"/>
    </row>
    <row r="730" spans="1:11" s="3" customFormat="1" ht="15.75" thickBot="1">
      <c r="A730" s="41" t="s">
        <v>13</v>
      </c>
      <c r="B730" s="41"/>
      <c r="C730" s="41" t="s">
        <v>814</v>
      </c>
      <c r="D730" s="41"/>
      <c r="E730" s="167">
        <f>E722+E728</f>
        <v>25836</v>
      </c>
      <c r="F730" s="167">
        <f t="shared" ref="F730:I730" si="134">F722+F728</f>
        <v>0</v>
      </c>
      <c r="G730" s="167">
        <f t="shared" si="134"/>
        <v>20976.420000000002</v>
      </c>
      <c r="H730" s="167">
        <f t="shared" si="134"/>
        <v>20976.420000000002</v>
      </c>
      <c r="I730" s="167">
        <f t="shared" si="134"/>
        <v>26912.5</v>
      </c>
      <c r="J730" s="164"/>
    </row>
    <row r="731" spans="1:11" ht="15.75" thickTop="1">
      <c r="A731" s="19"/>
      <c r="B731" s="19"/>
      <c r="C731" s="19"/>
      <c r="D731" s="19"/>
      <c r="E731" s="32"/>
      <c r="F731" s="32"/>
      <c r="G731" s="32"/>
      <c r="H731" s="32"/>
      <c r="I731" s="32"/>
      <c r="J731" s="95"/>
      <c r="K731"/>
    </row>
    <row r="732" spans="1:11">
      <c r="A732" s="19" t="s">
        <v>13</v>
      </c>
      <c r="B732" s="19"/>
      <c r="C732" s="19" t="s">
        <v>210</v>
      </c>
      <c r="D732" s="19"/>
      <c r="E732" s="32" t="s">
        <v>13</v>
      </c>
      <c r="F732" s="32" t="s">
        <v>13</v>
      </c>
      <c r="G732" s="32" t="s">
        <v>13</v>
      </c>
      <c r="H732" s="32" t="s">
        <v>13</v>
      </c>
      <c r="I732" s="32" t="s">
        <v>13</v>
      </c>
      <c r="J732" s="95"/>
      <c r="K732"/>
    </row>
    <row r="733" spans="1:11">
      <c r="A733" s="19" t="s">
        <v>1098</v>
      </c>
      <c r="B733" s="19" t="s">
        <v>1054</v>
      </c>
      <c r="C733" s="19" t="s">
        <v>29</v>
      </c>
      <c r="D733" s="19"/>
      <c r="E733" s="32">
        <v>450</v>
      </c>
      <c r="F733" s="32">
        <v>0</v>
      </c>
      <c r="G733" s="32">
        <v>0</v>
      </c>
      <c r="H733" s="32">
        <f>(G733/11)*12</f>
        <v>0</v>
      </c>
      <c r="I733" s="32">
        <v>450</v>
      </c>
      <c r="J733" s="95"/>
      <c r="K733"/>
    </row>
    <row r="734" spans="1:11">
      <c r="A734" s="19" t="s">
        <v>401</v>
      </c>
      <c r="B734" s="19"/>
      <c r="C734" s="19" t="s">
        <v>1277</v>
      </c>
      <c r="D734" s="19"/>
      <c r="E734" s="32">
        <v>5000</v>
      </c>
      <c r="F734" s="32">
        <v>0</v>
      </c>
      <c r="G734" s="32">
        <v>4438.92</v>
      </c>
      <c r="H734" s="32">
        <f t="shared" ref="H734:H735" si="135">(G734/11)*12</f>
        <v>4842.4581818181823</v>
      </c>
      <c r="I734" s="32">
        <v>4990</v>
      </c>
      <c r="J734" s="95"/>
      <c r="K734"/>
    </row>
    <row r="735" spans="1:11">
      <c r="A735" s="19" t="s">
        <v>402</v>
      </c>
      <c r="B735" s="19"/>
      <c r="C735" s="19" t="s">
        <v>1278</v>
      </c>
      <c r="D735" s="19"/>
      <c r="E735" s="32">
        <v>6000</v>
      </c>
      <c r="F735" s="32">
        <v>0</v>
      </c>
      <c r="G735" s="32">
        <v>3079.69</v>
      </c>
      <c r="H735" s="32">
        <f t="shared" si="135"/>
        <v>3359.6618181818185</v>
      </c>
      <c r="I735" s="32">
        <v>3460</v>
      </c>
      <c r="J735" s="95"/>
      <c r="K735"/>
    </row>
    <row r="736" spans="1:11">
      <c r="A736" s="19" t="s">
        <v>1120</v>
      </c>
      <c r="B736" s="19" t="s">
        <v>1054</v>
      </c>
      <c r="C736" s="19" t="s">
        <v>28</v>
      </c>
      <c r="D736" s="19"/>
      <c r="E736" s="32">
        <v>0</v>
      </c>
      <c r="F736" s="32">
        <v>0</v>
      </c>
      <c r="G736" s="32">
        <v>669.05</v>
      </c>
      <c r="H736" s="32">
        <f>(G736/11)*12</f>
        <v>729.87272727272727</v>
      </c>
      <c r="I736" s="32">
        <v>750</v>
      </c>
      <c r="J736" s="95" t="s">
        <v>1296</v>
      </c>
      <c r="K736"/>
    </row>
    <row r="737" spans="1:12" s="3" customFormat="1" ht="15.75" thickBot="1">
      <c r="A737" s="41"/>
      <c r="B737" s="41"/>
      <c r="C737" s="41" t="s">
        <v>816</v>
      </c>
      <c r="D737" s="41"/>
      <c r="E737" s="167">
        <f>SUM(E733:E736)</f>
        <v>11450</v>
      </c>
      <c r="F737" s="167">
        <f>SUM(F733:F736)</f>
        <v>0</v>
      </c>
      <c r="G737" s="167">
        <f>SUM(G733:G736)</f>
        <v>8187.6600000000008</v>
      </c>
      <c r="H737" s="167">
        <f>SUM(H733:H736)</f>
        <v>8931.9927272727273</v>
      </c>
      <c r="I737" s="167">
        <f>SUM(I733:I736)</f>
        <v>9650</v>
      </c>
      <c r="J737" s="164"/>
    </row>
    <row r="738" spans="1:12" ht="15.75" thickTop="1">
      <c r="A738" s="19"/>
      <c r="B738" s="19"/>
      <c r="C738" s="19"/>
      <c r="D738" s="19"/>
      <c r="E738" s="82"/>
      <c r="F738" s="82"/>
      <c r="G738" s="82"/>
      <c r="H738" s="82"/>
      <c r="I738" s="82"/>
      <c r="J738" s="170"/>
    </row>
    <row r="739" spans="1:12">
      <c r="A739" s="19"/>
      <c r="B739" s="19"/>
      <c r="C739" s="19" t="s">
        <v>212</v>
      </c>
      <c r="D739" s="19"/>
      <c r="E739" s="20"/>
      <c r="F739" s="20"/>
      <c r="G739" s="20"/>
      <c r="H739" s="20"/>
      <c r="I739" s="20"/>
      <c r="J739" s="168"/>
    </row>
    <row r="740" spans="1:12">
      <c r="A740" s="19" t="s">
        <v>404</v>
      </c>
      <c r="B740" s="19"/>
      <c r="C740" s="19" t="s">
        <v>405</v>
      </c>
      <c r="D740" s="19"/>
      <c r="E740" s="32">
        <v>20000</v>
      </c>
      <c r="F740" s="32">
        <v>0</v>
      </c>
      <c r="G740" s="32">
        <v>18513.14</v>
      </c>
      <c r="H740" s="32">
        <v>18513.14</v>
      </c>
      <c r="I740" s="32">
        <v>20000</v>
      </c>
      <c r="J740" s="95"/>
      <c r="K740"/>
      <c r="L740" s="32"/>
    </row>
    <row r="741" spans="1:12" s="3" customFormat="1" ht="15.75" thickBot="1">
      <c r="A741" s="41"/>
      <c r="B741" s="41"/>
      <c r="C741" s="41" t="s">
        <v>833</v>
      </c>
      <c r="D741" s="41"/>
      <c r="E741" s="167">
        <f>SUM(E740:E740)</f>
        <v>20000</v>
      </c>
      <c r="F741" s="167">
        <f>SUM(F740:F740)</f>
        <v>0</v>
      </c>
      <c r="G741" s="167">
        <f>SUM(G740:G740)</f>
        <v>18513.14</v>
      </c>
      <c r="H741" s="167">
        <f>SUM(H740:H740)</f>
        <v>18513.14</v>
      </c>
      <c r="I741" s="167">
        <f>SUM(I740:I740)</f>
        <v>20000</v>
      </c>
      <c r="J741" s="164"/>
    </row>
    <row r="742" spans="1:12" ht="15.75" thickTop="1">
      <c r="A742" s="19"/>
      <c r="B742" s="19"/>
      <c r="C742" s="19"/>
      <c r="D742" s="19"/>
      <c r="E742" s="20"/>
      <c r="F742" s="20"/>
      <c r="G742" s="20"/>
      <c r="H742" s="20"/>
      <c r="I742" s="20"/>
      <c r="J742" s="168"/>
    </row>
    <row r="743" spans="1:12">
      <c r="A743" s="19"/>
      <c r="B743" s="19"/>
      <c r="C743" s="19" t="s">
        <v>223</v>
      </c>
      <c r="D743" s="19"/>
      <c r="E743" s="20"/>
      <c r="F743" s="20"/>
      <c r="G743" s="20"/>
      <c r="H743" s="20"/>
      <c r="I743" s="20"/>
      <c r="J743" s="168"/>
    </row>
    <row r="744" spans="1:12">
      <c r="A744" s="19" t="s">
        <v>1205</v>
      </c>
      <c r="B744" s="19" t="s">
        <v>1054</v>
      </c>
      <c r="C744" s="19" t="s">
        <v>1204</v>
      </c>
      <c r="D744" s="19"/>
      <c r="E744" s="32">
        <v>0</v>
      </c>
      <c r="F744" s="32">
        <v>0</v>
      </c>
      <c r="G744" s="32">
        <v>0</v>
      </c>
      <c r="H744" s="32">
        <v>0</v>
      </c>
      <c r="I744" s="32">
        <v>1000</v>
      </c>
      <c r="J744" s="168"/>
    </row>
    <row r="745" spans="1:12">
      <c r="A745" s="19" t="s">
        <v>406</v>
      </c>
      <c r="B745" s="19"/>
      <c r="C745" s="19" t="s">
        <v>1206</v>
      </c>
      <c r="D745" s="19"/>
      <c r="E745" s="32">
        <v>1000</v>
      </c>
      <c r="F745" s="32">
        <v>0</v>
      </c>
      <c r="G745" s="32">
        <v>923.54</v>
      </c>
      <c r="H745" s="32">
        <v>923.54</v>
      </c>
      <c r="I745" s="32">
        <v>1000</v>
      </c>
      <c r="J745" s="95"/>
      <c r="K745"/>
    </row>
    <row r="746" spans="1:12" s="3" customFormat="1" ht="15.75" thickBot="1">
      <c r="A746" s="41" t="s">
        <v>13</v>
      </c>
      <c r="B746" s="41"/>
      <c r="C746" s="41" t="s">
        <v>822</v>
      </c>
      <c r="D746" s="41"/>
      <c r="E746" s="167">
        <f>SUM(E745)</f>
        <v>1000</v>
      </c>
      <c r="F746" s="167">
        <f t="shared" ref="F746:I746" si="136">SUM(F745)</f>
        <v>0</v>
      </c>
      <c r="G746" s="167">
        <f t="shared" si="136"/>
        <v>923.54</v>
      </c>
      <c r="H746" s="167">
        <f t="shared" si="136"/>
        <v>923.54</v>
      </c>
      <c r="I746" s="167">
        <f t="shared" si="136"/>
        <v>1000</v>
      </c>
      <c r="J746" s="164"/>
    </row>
    <row r="747" spans="1:12" s="3" customFormat="1" ht="15.75" thickTop="1">
      <c r="A747" s="41"/>
      <c r="B747" s="41"/>
      <c r="C747" s="41"/>
      <c r="D747" s="41"/>
      <c r="E747" s="169"/>
      <c r="F747" s="169"/>
      <c r="G747" s="169"/>
      <c r="H747" s="169"/>
      <c r="I747" s="169"/>
      <c r="J747" s="164"/>
    </row>
    <row r="748" spans="1:12">
      <c r="A748" s="19" t="s">
        <v>13</v>
      </c>
      <c r="B748" s="19"/>
      <c r="C748" s="19" t="s">
        <v>380</v>
      </c>
      <c r="D748" s="19"/>
      <c r="E748" s="32" t="s">
        <v>13</v>
      </c>
      <c r="F748" s="32" t="s">
        <v>13</v>
      </c>
      <c r="G748" s="32" t="s">
        <v>13</v>
      </c>
      <c r="H748" s="32" t="s">
        <v>13</v>
      </c>
      <c r="I748" s="32" t="s">
        <v>13</v>
      </c>
      <c r="J748" s="95"/>
      <c r="K748"/>
    </row>
    <row r="749" spans="1:12">
      <c r="A749" s="19" t="s">
        <v>1130</v>
      </c>
      <c r="B749" s="19" t="s">
        <v>1054</v>
      </c>
      <c r="C749" s="19" t="s">
        <v>403</v>
      </c>
      <c r="D749" s="19"/>
      <c r="E749" s="32">
        <v>5000</v>
      </c>
      <c r="F749" s="32">
        <v>0</v>
      </c>
      <c r="G749" s="32">
        <v>802.47</v>
      </c>
      <c r="H749" s="32">
        <v>592.63</v>
      </c>
      <c r="I749" s="32">
        <v>5000</v>
      </c>
      <c r="J749" s="95"/>
      <c r="K749"/>
      <c r="L749" s="32"/>
    </row>
    <row r="750" spans="1:12" s="3" customFormat="1" ht="15.75" thickBot="1">
      <c r="A750" s="41" t="s">
        <v>13</v>
      </c>
      <c r="B750" s="41"/>
      <c r="C750" s="41" t="s">
        <v>848</v>
      </c>
      <c r="D750" s="41"/>
      <c r="E750" s="167">
        <f>SUM(E749)</f>
        <v>5000</v>
      </c>
      <c r="F750" s="167">
        <f t="shared" ref="F750:I750" si="137">SUM(F749)</f>
        <v>0</v>
      </c>
      <c r="G750" s="167">
        <f t="shared" si="137"/>
        <v>802.47</v>
      </c>
      <c r="H750" s="167">
        <f t="shared" si="137"/>
        <v>592.63</v>
      </c>
      <c r="I750" s="167">
        <f t="shared" si="137"/>
        <v>5000</v>
      </c>
      <c r="J750" s="164"/>
    </row>
    <row r="751" spans="1:12" ht="15.75" thickTop="1">
      <c r="A751" s="19"/>
      <c r="B751" s="19"/>
      <c r="C751" s="19"/>
      <c r="D751" s="19"/>
      <c r="E751" s="32"/>
      <c r="F751" s="32"/>
      <c r="G751" s="32"/>
      <c r="H751" s="32"/>
      <c r="I751" s="32"/>
      <c r="J751" s="95"/>
      <c r="K751"/>
    </row>
    <row r="752" spans="1:12">
      <c r="A752" s="19" t="s">
        <v>13</v>
      </c>
      <c r="B752" s="19"/>
      <c r="C752" s="19" t="s">
        <v>32</v>
      </c>
      <c r="D752" s="19"/>
      <c r="E752" s="32" t="s">
        <v>13</v>
      </c>
      <c r="F752" s="32" t="s">
        <v>13</v>
      </c>
      <c r="G752" s="32" t="s">
        <v>13</v>
      </c>
      <c r="H752" s="32" t="s">
        <v>13</v>
      </c>
      <c r="I752" s="32" t="s">
        <v>13</v>
      </c>
      <c r="J752" s="95"/>
      <c r="K752"/>
    </row>
    <row r="753" spans="1:11">
      <c r="A753" s="19" t="s">
        <v>451</v>
      </c>
      <c r="B753" s="19"/>
      <c r="C753" s="19" t="s">
        <v>32</v>
      </c>
      <c r="D753" s="19"/>
      <c r="E753" s="32">
        <v>0</v>
      </c>
      <c r="F753" s="32">
        <v>0</v>
      </c>
      <c r="G753" s="32">
        <v>0</v>
      </c>
      <c r="H753" s="32">
        <v>0</v>
      </c>
      <c r="I753" s="32">
        <v>0</v>
      </c>
      <c r="J753" s="95"/>
      <c r="K753" s="32"/>
    </row>
    <row r="754" spans="1:11" s="3" customFormat="1" ht="15.75" thickBot="1">
      <c r="A754" s="41" t="s">
        <v>13</v>
      </c>
      <c r="B754" s="41"/>
      <c r="C754" s="41" t="s">
        <v>841</v>
      </c>
      <c r="D754" s="41"/>
      <c r="E754" s="167">
        <f>SUM(E753)</f>
        <v>0</v>
      </c>
      <c r="F754" s="167">
        <f t="shared" ref="F754:I754" si="138">SUM(F753)</f>
        <v>0</v>
      </c>
      <c r="G754" s="167">
        <f t="shared" si="138"/>
        <v>0</v>
      </c>
      <c r="H754" s="167">
        <f t="shared" si="138"/>
        <v>0</v>
      </c>
      <c r="I754" s="167">
        <f t="shared" si="138"/>
        <v>0</v>
      </c>
      <c r="J754" s="164"/>
    </row>
    <row r="755" spans="1:11" ht="15.75" thickTop="1">
      <c r="A755" s="19"/>
      <c r="B755" s="19"/>
      <c r="C755" s="19"/>
      <c r="D755" s="19"/>
      <c r="E755" s="32"/>
      <c r="F755" s="32"/>
      <c r="G755" s="32"/>
      <c r="H755" s="32"/>
      <c r="I755" s="32"/>
      <c r="J755" s="95"/>
      <c r="K755"/>
    </row>
    <row r="756" spans="1:11">
      <c r="A756" s="19" t="s">
        <v>13</v>
      </c>
      <c r="B756" s="19"/>
      <c r="C756" s="19" t="s">
        <v>37</v>
      </c>
      <c r="D756" s="19"/>
      <c r="E756" s="32" t="s">
        <v>13</v>
      </c>
      <c r="F756" s="32" t="s">
        <v>13</v>
      </c>
      <c r="G756" s="32" t="s">
        <v>13</v>
      </c>
      <c r="H756" s="32" t="s">
        <v>13</v>
      </c>
      <c r="I756" s="32" t="s">
        <v>13</v>
      </c>
      <c r="J756" s="95"/>
      <c r="K756"/>
    </row>
    <row r="757" spans="1:11">
      <c r="A757" s="19" t="s">
        <v>738</v>
      </c>
      <c r="B757" s="19"/>
      <c r="C757" s="19" t="s">
        <v>740</v>
      </c>
      <c r="D757" s="19"/>
      <c r="E757" s="32">
        <v>0</v>
      </c>
      <c r="F757" s="32">
        <v>0</v>
      </c>
      <c r="G757" s="32">
        <v>0</v>
      </c>
      <c r="H757" s="32">
        <v>0</v>
      </c>
      <c r="I757" s="32">
        <v>0</v>
      </c>
      <c r="J757" s="95"/>
      <c r="K757"/>
    </row>
    <row r="758" spans="1:11" s="3" customFormat="1" ht="15.75" thickBot="1">
      <c r="A758" s="41" t="s">
        <v>13</v>
      </c>
      <c r="B758" s="41"/>
      <c r="C758" s="41" t="s">
        <v>835</v>
      </c>
      <c r="D758" s="41"/>
      <c r="E758" s="167">
        <f>SUM(E757)</f>
        <v>0</v>
      </c>
      <c r="F758" s="167">
        <f t="shared" ref="F758:I758" si="139">SUM(F757)</f>
        <v>0</v>
      </c>
      <c r="G758" s="167">
        <f t="shared" si="139"/>
        <v>0</v>
      </c>
      <c r="H758" s="167">
        <f t="shared" si="139"/>
        <v>0</v>
      </c>
      <c r="I758" s="167">
        <f t="shared" si="139"/>
        <v>0</v>
      </c>
      <c r="J758" s="164"/>
    </row>
    <row r="759" spans="1:11" ht="15.75" thickTop="1">
      <c r="A759" s="19"/>
      <c r="B759" s="19"/>
      <c r="C759" s="19"/>
      <c r="D759" s="19"/>
      <c r="E759" s="32"/>
      <c r="F759" s="32"/>
      <c r="G759" s="32"/>
      <c r="H759" s="32"/>
      <c r="I759" s="32"/>
      <c r="J759" s="95"/>
      <c r="K759"/>
    </row>
    <row r="760" spans="1:11" ht="15.75" thickBot="1">
      <c r="A760" s="19"/>
      <c r="B760" s="19"/>
      <c r="C760" s="41" t="s">
        <v>851</v>
      </c>
      <c r="D760" s="41"/>
      <c r="E760" s="167">
        <f>E730+E737+E741+E746+E750+E754+E758</f>
        <v>63286</v>
      </c>
      <c r="F760" s="167">
        <f>F730+F737+F741+F746+F750+F754+F758</f>
        <v>0</v>
      </c>
      <c r="G760" s="167">
        <f>G730+G737+G741+G746+G750+G754+G758</f>
        <v>49403.23</v>
      </c>
      <c r="H760" s="167">
        <f>H730+H737+H741+H746+H750+H754+H758</f>
        <v>49937.722727272725</v>
      </c>
      <c r="I760" s="167">
        <f>I730+I737+I741+I746+I750+I754+I758</f>
        <v>62562.5</v>
      </c>
      <c r="J760" s="95"/>
      <c r="K760"/>
    </row>
    <row r="761" spans="1:11" ht="15.75" thickTop="1">
      <c r="A761" s="19"/>
      <c r="B761" s="19"/>
      <c r="C761" s="19"/>
      <c r="D761" s="19"/>
      <c r="E761" s="32"/>
      <c r="F761" s="32"/>
      <c r="G761" s="32"/>
      <c r="H761" s="32"/>
      <c r="I761" s="32"/>
      <c r="J761" s="168"/>
    </row>
    <row r="762" spans="1:11">
      <c r="A762" s="19"/>
      <c r="B762" s="19"/>
      <c r="C762" s="19"/>
      <c r="D762" s="19"/>
      <c r="E762" s="32"/>
      <c r="F762" s="32"/>
      <c r="G762" s="32"/>
      <c r="H762" s="32"/>
      <c r="I762" s="32"/>
      <c r="J762" s="168"/>
    </row>
    <row r="763" spans="1:11">
      <c r="A763" s="201" t="s">
        <v>703</v>
      </c>
      <c r="B763" s="201"/>
      <c r="C763" s="201"/>
      <c r="D763" s="201"/>
      <c r="E763" s="201"/>
      <c r="F763" s="201"/>
      <c r="G763" s="201"/>
      <c r="H763" s="201"/>
      <c r="I763" s="201"/>
      <c r="J763" s="201"/>
      <c r="K763"/>
    </row>
    <row r="764" spans="1:11">
      <c r="A764" s="19" t="s">
        <v>13</v>
      </c>
      <c r="B764" s="19"/>
      <c r="C764" s="19" t="s">
        <v>407</v>
      </c>
      <c r="D764" s="19"/>
      <c r="E764" s="32" t="s">
        <v>13</v>
      </c>
      <c r="F764" s="32" t="s">
        <v>276</v>
      </c>
      <c r="G764" s="32" t="s">
        <v>13</v>
      </c>
      <c r="H764" s="32" t="s">
        <v>13</v>
      </c>
      <c r="I764" s="32" t="s">
        <v>13</v>
      </c>
      <c r="J764" s="168"/>
    </row>
    <row r="765" spans="1:11">
      <c r="A765" s="19" t="s">
        <v>1099</v>
      </c>
      <c r="B765" s="19" t="s">
        <v>1054</v>
      </c>
      <c r="C765" s="19" t="s">
        <v>1100</v>
      </c>
      <c r="D765" s="19"/>
      <c r="E765" s="32">
        <v>360</v>
      </c>
      <c r="F765" s="32">
        <v>0</v>
      </c>
      <c r="G765" s="32">
        <v>360</v>
      </c>
      <c r="H765" s="32">
        <v>360</v>
      </c>
      <c r="I765" s="32">
        <v>360</v>
      </c>
      <c r="J765" s="95"/>
      <c r="K765"/>
    </row>
    <row r="766" spans="1:11">
      <c r="A766" s="19" t="s">
        <v>408</v>
      </c>
      <c r="B766" s="19"/>
      <c r="C766" s="19" t="s">
        <v>1279</v>
      </c>
      <c r="D766" s="19"/>
      <c r="E766" s="32">
        <v>17000</v>
      </c>
      <c r="F766" s="32">
        <v>0</v>
      </c>
      <c r="G766" s="32">
        <v>17470.32</v>
      </c>
      <c r="H766" s="32">
        <f>(G766/11)*12</f>
        <v>19058.53090909091</v>
      </c>
      <c r="I766" s="32">
        <v>19630</v>
      </c>
      <c r="J766" s="95"/>
      <c r="K766"/>
    </row>
    <row r="767" spans="1:11">
      <c r="A767" s="19" t="s">
        <v>1101</v>
      </c>
      <c r="B767" s="19" t="s">
        <v>1054</v>
      </c>
      <c r="C767" s="19" t="s">
        <v>1102</v>
      </c>
      <c r="D767" s="19"/>
      <c r="E767" s="32">
        <v>4000</v>
      </c>
      <c r="F767" s="32">
        <v>0</v>
      </c>
      <c r="G767" s="32">
        <v>5296.71</v>
      </c>
      <c r="H767" s="32">
        <f t="shared" ref="H767:H768" si="140">(G767/11)*12</f>
        <v>5778.2290909090907</v>
      </c>
      <c r="I767" s="32">
        <v>5955</v>
      </c>
      <c r="J767" s="95"/>
      <c r="K767"/>
    </row>
    <row r="768" spans="1:11">
      <c r="A768" s="19" t="s">
        <v>409</v>
      </c>
      <c r="B768" s="19"/>
      <c r="C768" s="19" t="s">
        <v>1103</v>
      </c>
      <c r="D768" s="19"/>
      <c r="E768" s="32">
        <v>6000</v>
      </c>
      <c r="F768" s="32">
        <v>0</v>
      </c>
      <c r="G768" s="32">
        <v>2670.95</v>
      </c>
      <c r="H768" s="32">
        <f t="shared" si="140"/>
        <v>2913.7636363636361</v>
      </c>
      <c r="I768" s="32">
        <v>3005</v>
      </c>
      <c r="J768" s="95"/>
      <c r="K768"/>
    </row>
    <row r="769" spans="1:11">
      <c r="A769" s="19" t="s">
        <v>1245</v>
      </c>
      <c r="B769" s="19" t="s">
        <v>1054</v>
      </c>
      <c r="C769" s="19" t="s">
        <v>251</v>
      </c>
      <c r="D769" s="19"/>
      <c r="E769" s="32">
        <v>0</v>
      </c>
      <c r="F769" s="32">
        <v>0</v>
      </c>
      <c r="G769" s="32"/>
      <c r="H769" s="32"/>
      <c r="I769" s="32"/>
      <c r="J769" s="95"/>
      <c r="K769"/>
    </row>
    <row r="770" spans="1:11" s="3" customFormat="1" ht="15.75" thickBot="1">
      <c r="A770" s="41"/>
      <c r="B770" s="41"/>
      <c r="C770" s="41" t="s">
        <v>816</v>
      </c>
      <c r="D770" s="41"/>
      <c r="E770" s="167">
        <f>SUM(E765:E769)</f>
        <v>27360</v>
      </c>
      <c r="F770" s="167">
        <f>SUM(F765:F769)</f>
        <v>0</v>
      </c>
      <c r="G770" s="167">
        <f t="shared" ref="G770:I770" si="141">SUM(G765:G768)</f>
        <v>25797.98</v>
      </c>
      <c r="H770" s="167">
        <f t="shared" si="141"/>
        <v>28110.52363636364</v>
      </c>
      <c r="I770" s="167">
        <f t="shared" si="141"/>
        <v>28950</v>
      </c>
      <c r="J770" s="164"/>
    </row>
    <row r="771" spans="1:11" ht="15.75" thickTop="1">
      <c r="A771" s="19"/>
      <c r="B771" s="19"/>
      <c r="C771" s="19"/>
      <c r="D771" s="19"/>
      <c r="E771" s="20"/>
      <c r="F771" s="20"/>
      <c r="G771" s="20"/>
      <c r="H771" s="20"/>
      <c r="I771" s="20"/>
      <c r="J771" s="168"/>
    </row>
    <row r="772" spans="1:11">
      <c r="A772" s="19"/>
      <c r="B772" s="19"/>
      <c r="C772" s="19" t="s">
        <v>212</v>
      </c>
      <c r="D772" s="19"/>
      <c r="E772" s="20"/>
      <c r="F772" s="20"/>
      <c r="G772" s="20"/>
      <c r="H772" s="20"/>
      <c r="I772" s="20"/>
      <c r="J772" s="168"/>
    </row>
    <row r="773" spans="1:11">
      <c r="A773" s="19" t="s">
        <v>410</v>
      </c>
      <c r="B773" s="19"/>
      <c r="C773" s="19" t="s">
        <v>411</v>
      </c>
      <c r="D773" s="19"/>
      <c r="E773" s="32">
        <v>2500</v>
      </c>
      <c r="F773" s="32">
        <v>0</v>
      </c>
      <c r="G773" s="32">
        <v>1283.97</v>
      </c>
      <c r="H773" s="32">
        <v>1283.97</v>
      </c>
      <c r="I773" s="32">
        <v>2500</v>
      </c>
      <c r="J773" s="95"/>
      <c r="K773"/>
    </row>
    <row r="774" spans="1:11" s="3" customFormat="1" ht="15.75" thickBot="1">
      <c r="A774" s="41" t="s">
        <v>13</v>
      </c>
      <c r="B774" s="41"/>
      <c r="C774" s="41" t="s">
        <v>833</v>
      </c>
      <c r="D774" s="41"/>
      <c r="E774" s="167">
        <f>SUM(E773)</f>
        <v>2500</v>
      </c>
      <c r="F774" s="167">
        <f t="shared" ref="F774:I774" si="142">SUM(F773)</f>
        <v>0</v>
      </c>
      <c r="G774" s="167">
        <f t="shared" si="142"/>
        <v>1283.97</v>
      </c>
      <c r="H774" s="167">
        <f t="shared" si="142"/>
        <v>1283.97</v>
      </c>
      <c r="I774" s="167">
        <f t="shared" si="142"/>
        <v>2500</v>
      </c>
      <c r="J774" s="164"/>
    </row>
    <row r="775" spans="1:11" ht="15.75" thickTop="1">
      <c r="A775" s="19"/>
      <c r="B775" s="19"/>
      <c r="C775" s="19"/>
      <c r="D775" s="19"/>
      <c r="E775" s="32"/>
      <c r="F775" s="32"/>
      <c r="G775" s="32"/>
      <c r="H775" s="32"/>
      <c r="I775" s="32"/>
      <c r="J775" s="95"/>
      <c r="K775"/>
    </row>
    <row r="776" spans="1:11">
      <c r="A776" s="19" t="s">
        <v>13</v>
      </c>
      <c r="B776" s="19"/>
      <c r="C776" s="19" t="s">
        <v>223</v>
      </c>
      <c r="D776" s="19"/>
      <c r="E776" s="32" t="s">
        <v>13</v>
      </c>
      <c r="F776" s="32" t="s">
        <v>13</v>
      </c>
      <c r="G776" s="32" t="s">
        <v>13</v>
      </c>
      <c r="H776" s="32" t="s">
        <v>13</v>
      </c>
      <c r="I776" s="32" t="s">
        <v>13</v>
      </c>
      <c r="J776" s="168"/>
    </row>
    <row r="777" spans="1:11">
      <c r="A777" s="19" t="s">
        <v>1207</v>
      </c>
      <c r="B777" s="19" t="s">
        <v>1054</v>
      </c>
      <c r="C777" s="19" t="s">
        <v>1204</v>
      </c>
      <c r="D777" s="19"/>
      <c r="E777" s="32">
        <v>0</v>
      </c>
      <c r="F777" s="32">
        <v>0</v>
      </c>
      <c r="G777" s="32">
        <v>0</v>
      </c>
      <c r="H777" s="32">
        <v>0</v>
      </c>
      <c r="I777" s="32">
        <v>500</v>
      </c>
      <c r="J777" s="168"/>
    </row>
    <row r="778" spans="1:11">
      <c r="A778" s="19" t="s">
        <v>1104</v>
      </c>
      <c r="B778" s="19" t="s">
        <v>1054</v>
      </c>
      <c r="C778" s="19" t="s">
        <v>696</v>
      </c>
      <c r="D778" s="19"/>
      <c r="E778" s="32">
        <v>7000</v>
      </c>
      <c r="F778" s="32">
        <v>0</v>
      </c>
      <c r="G778" s="32">
        <v>481.94</v>
      </c>
      <c r="H778" s="32">
        <v>481.94</v>
      </c>
      <c r="I778" s="32">
        <v>7000</v>
      </c>
      <c r="J778" s="95"/>
      <c r="K778"/>
    </row>
    <row r="779" spans="1:11" s="3" customFormat="1" ht="15.75" thickBot="1">
      <c r="A779" s="41" t="s">
        <v>13</v>
      </c>
      <c r="B779" s="41"/>
      <c r="C779" s="41" t="s">
        <v>822</v>
      </c>
      <c r="D779" s="41"/>
      <c r="E779" s="167">
        <f>SUM(E778)</f>
        <v>7000</v>
      </c>
      <c r="F779" s="167">
        <f t="shared" ref="F779:I779" si="143">SUM(F778)</f>
        <v>0</v>
      </c>
      <c r="G779" s="167">
        <f t="shared" si="143"/>
        <v>481.94</v>
      </c>
      <c r="H779" s="167">
        <f t="shared" si="143"/>
        <v>481.94</v>
      </c>
      <c r="I779" s="167">
        <f t="shared" si="143"/>
        <v>7000</v>
      </c>
      <c r="J779" s="164"/>
    </row>
    <row r="780" spans="1:11" ht="15.75" thickTop="1">
      <c r="A780" s="19"/>
      <c r="B780" s="19"/>
      <c r="C780" s="19"/>
      <c r="D780" s="19"/>
      <c r="E780" s="32"/>
      <c r="F780" s="32"/>
      <c r="G780" s="32"/>
      <c r="H780" s="32"/>
      <c r="I780" s="32"/>
      <c r="J780" s="168"/>
    </row>
    <row r="781" spans="1:11">
      <c r="A781" s="19"/>
      <c r="B781" s="19"/>
      <c r="C781" s="19" t="s">
        <v>32</v>
      </c>
      <c r="D781" s="19"/>
      <c r="E781" s="20"/>
      <c r="F781" s="20"/>
      <c r="G781" s="20"/>
      <c r="H781" s="20"/>
      <c r="I781" s="20"/>
      <c r="J781" s="168"/>
    </row>
    <row r="782" spans="1:11">
      <c r="A782" s="19" t="s">
        <v>452</v>
      </c>
      <c r="B782" s="19"/>
      <c r="C782" s="19" t="s">
        <v>32</v>
      </c>
      <c r="D782" s="19"/>
      <c r="E782" s="32">
        <v>0</v>
      </c>
      <c r="F782" s="32">
        <v>0</v>
      </c>
      <c r="G782" s="32">
        <v>2000</v>
      </c>
      <c r="H782" s="32">
        <v>2000</v>
      </c>
      <c r="I782" s="32">
        <v>0</v>
      </c>
      <c r="J782" s="95" t="s">
        <v>1044</v>
      </c>
      <c r="K782"/>
    </row>
    <row r="783" spans="1:11" s="3" customFormat="1" ht="15.75" thickBot="1">
      <c r="A783" s="41"/>
      <c r="B783" s="41" t="s">
        <v>13</v>
      </c>
      <c r="C783" s="41" t="s">
        <v>841</v>
      </c>
      <c r="D783" s="41"/>
      <c r="E783" s="167">
        <f>SUM(E782)</f>
        <v>0</v>
      </c>
      <c r="F783" s="167">
        <f t="shared" ref="F783:I783" si="144">SUM(F782)</f>
        <v>0</v>
      </c>
      <c r="G783" s="167">
        <f t="shared" si="144"/>
        <v>2000</v>
      </c>
      <c r="H783" s="167">
        <f t="shared" si="144"/>
        <v>2000</v>
      </c>
      <c r="I783" s="167">
        <f t="shared" si="144"/>
        <v>0</v>
      </c>
      <c r="J783" s="164"/>
    </row>
    <row r="784" spans="1:11" ht="15.75" thickTop="1">
      <c r="A784" s="19"/>
      <c r="B784" s="19"/>
      <c r="C784" s="19"/>
      <c r="D784" s="19"/>
      <c r="E784" s="20"/>
      <c r="F784" s="20"/>
      <c r="G784" s="20"/>
      <c r="H784" s="20"/>
      <c r="I784" s="20"/>
      <c r="J784" s="95"/>
      <c r="K784"/>
    </row>
    <row r="785" spans="1:11" ht="15.75" thickBot="1">
      <c r="A785" s="19"/>
      <c r="B785" s="19"/>
      <c r="C785" s="41" t="s">
        <v>852</v>
      </c>
      <c r="D785" s="41"/>
      <c r="E785" s="171">
        <f>E770+E774+E779+E783</f>
        <v>36860</v>
      </c>
      <c r="F785" s="171">
        <f t="shared" ref="F785:I785" si="145">F770+F774+F779+F783</f>
        <v>0</v>
      </c>
      <c r="G785" s="171">
        <f t="shared" si="145"/>
        <v>29563.89</v>
      </c>
      <c r="H785" s="171">
        <f t="shared" si="145"/>
        <v>31876.433636363639</v>
      </c>
      <c r="I785" s="171">
        <f t="shared" si="145"/>
        <v>38450</v>
      </c>
      <c r="J785" s="95"/>
      <c r="K785"/>
    </row>
    <row r="786" spans="1:11" ht="15.75" thickTop="1">
      <c r="A786" s="19"/>
      <c r="B786" s="19"/>
      <c r="C786" s="19"/>
      <c r="D786" s="19"/>
      <c r="E786" s="20"/>
      <c r="F786" s="20"/>
      <c r="G786" s="20"/>
      <c r="H786" s="20"/>
      <c r="I786" s="20"/>
      <c r="J786" s="95"/>
      <c r="K786"/>
    </row>
    <row r="787" spans="1:11">
      <c r="A787" s="19"/>
      <c r="B787" s="19"/>
      <c r="C787" s="19"/>
      <c r="D787" s="19"/>
      <c r="E787" s="20"/>
      <c r="F787" s="20"/>
      <c r="G787" s="20"/>
      <c r="H787" s="20"/>
      <c r="I787" s="20"/>
      <c r="J787" s="95"/>
      <c r="K787"/>
    </row>
    <row r="788" spans="1:11">
      <c r="A788" s="201" t="s">
        <v>704</v>
      </c>
      <c r="B788" s="201"/>
      <c r="C788" s="201"/>
      <c r="D788" s="201"/>
      <c r="E788" s="201"/>
      <c r="F788" s="201"/>
      <c r="G788" s="201"/>
      <c r="H788" s="201"/>
      <c r="I788" s="201"/>
      <c r="J788" s="201"/>
      <c r="K788"/>
    </row>
    <row r="789" spans="1:11">
      <c r="A789" s="19" t="s">
        <v>13</v>
      </c>
      <c r="B789" s="19"/>
      <c r="C789" s="19" t="s">
        <v>204</v>
      </c>
      <c r="D789" s="19"/>
      <c r="E789" s="32" t="s">
        <v>13</v>
      </c>
      <c r="F789" s="32" t="s">
        <v>13</v>
      </c>
      <c r="G789" s="32" t="s">
        <v>13</v>
      </c>
      <c r="H789" s="32" t="s">
        <v>13</v>
      </c>
      <c r="I789" s="21"/>
      <c r="J789" s="98"/>
      <c r="K789"/>
    </row>
    <row r="790" spans="1:11">
      <c r="A790" s="19" t="s">
        <v>412</v>
      </c>
      <c r="B790" s="19"/>
      <c r="C790" s="19" t="s">
        <v>878</v>
      </c>
      <c r="D790" s="19"/>
      <c r="E790" s="32">
        <v>6400</v>
      </c>
      <c r="F790" s="32">
        <v>0</v>
      </c>
      <c r="G790" s="32">
        <v>1248</v>
      </c>
      <c r="H790" s="32">
        <f>(G790/24)*26</f>
        <v>1352</v>
      </c>
      <c r="I790" s="32">
        <v>7150</v>
      </c>
      <c r="J790" s="95"/>
      <c r="K790"/>
    </row>
    <row r="791" spans="1:11" ht="15.75" thickBot="1">
      <c r="A791" s="19" t="s">
        <v>13</v>
      </c>
      <c r="B791" s="19"/>
      <c r="C791" s="19" t="s">
        <v>825</v>
      </c>
      <c r="D791" s="19"/>
      <c r="E791" s="172">
        <f>SUM(E790)</f>
        <v>6400</v>
      </c>
      <c r="F791" s="172">
        <f t="shared" ref="F791:H791" si="146">SUM(F790)</f>
        <v>0</v>
      </c>
      <c r="G791" s="172">
        <f t="shared" si="146"/>
        <v>1248</v>
      </c>
      <c r="H791" s="172">
        <f t="shared" si="146"/>
        <v>1352</v>
      </c>
      <c r="I791" s="172">
        <f>SUM(I790)</f>
        <v>7150</v>
      </c>
      <c r="J791" s="95"/>
      <c r="K791"/>
    </row>
    <row r="792" spans="1:11" ht="15.75" thickTop="1">
      <c r="A792" s="19"/>
      <c r="B792" s="19"/>
      <c r="C792" s="19"/>
      <c r="D792" s="19"/>
      <c r="E792" s="32"/>
      <c r="F792" s="32"/>
      <c r="G792" s="32"/>
      <c r="H792" s="32"/>
      <c r="I792" s="32"/>
      <c r="J792" s="95"/>
      <c r="K792"/>
    </row>
    <row r="793" spans="1:11">
      <c r="A793" s="19" t="s">
        <v>13</v>
      </c>
      <c r="B793" s="19"/>
      <c r="C793" s="19" t="s">
        <v>205</v>
      </c>
      <c r="D793" s="19"/>
      <c r="E793" s="32" t="s">
        <v>13</v>
      </c>
      <c r="F793" s="32" t="s">
        <v>13</v>
      </c>
      <c r="G793" s="32" t="s">
        <v>13</v>
      </c>
      <c r="H793" s="32" t="s">
        <v>13</v>
      </c>
      <c r="I793" s="32"/>
      <c r="J793" s="95"/>
      <c r="K793"/>
    </row>
    <row r="794" spans="1:11">
      <c r="A794" s="19" t="s">
        <v>413</v>
      </c>
      <c r="B794" s="19"/>
      <c r="C794" s="19" t="s">
        <v>215</v>
      </c>
      <c r="D794" s="19"/>
      <c r="E794" s="32">
        <v>490</v>
      </c>
      <c r="F794" s="32">
        <v>0</v>
      </c>
      <c r="G794" s="32">
        <v>95.44</v>
      </c>
      <c r="H794" s="32">
        <f>H791*0.0765</f>
        <v>103.428</v>
      </c>
      <c r="I794" s="32">
        <f>I791*0.0765</f>
        <v>546.97500000000002</v>
      </c>
      <c r="J794" s="96"/>
      <c r="K794"/>
    </row>
    <row r="795" spans="1:11">
      <c r="A795" s="19" t="s">
        <v>1280</v>
      </c>
      <c r="B795" s="19" t="s">
        <v>1054</v>
      </c>
      <c r="C795" s="19" t="s">
        <v>231</v>
      </c>
      <c r="D795" s="19"/>
      <c r="E795" s="32">
        <v>0</v>
      </c>
      <c r="F795" s="32">
        <v>0</v>
      </c>
      <c r="G795" s="32">
        <v>0</v>
      </c>
      <c r="H795" s="32">
        <v>0</v>
      </c>
      <c r="I795" s="32">
        <v>0</v>
      </c>
      <c r="J795" s="96"/>
      <c r="K795"/>
    </row>
    <row r="796" spans="1:11">
      <c r="A796" s="19" t="s">
        <v>1229</v>
      </c>
      <c r="B796" s="19" t="s">
        <v>1054</v>
      </c>
      <c r="C796" s="19" t="s">
        <v>1219</v>
      </c>
      <c r="D796" s="19"/>
      <c r="E796" s="32">
        <v>0</v>
      </c>
      <c r="F796" s="32">
        <v>0</v>
      </c>
      <c r="G796" s="32"/>
      <c r="H796" s="32"/>
      <c r="I796" s="32"/>
      <c r="J796" s="96"/>
      <c r="K796"/>
    </row>
    <row r="797" spans="1:11" ht="15.75" thickBot="1">
      <c r="A797" s="19" t="s">
        <v>13</v>
      </c>
      <c r="B797" s="19"/>
      <c r="C797" s="19" t="s">
        <v>829</v>
      </c>
      <c r="D797" s="19"/>
      <c r="E797" s="172">
        <f>SUM(E794:E796)</f>
        <v>490</v>
      </c>
      <c r="F797" s="172">
        <f t="shared" ref="F797:I797" si="147">SUM(F794:F796)</f>
        <v>0</v>
      </c>
      <c r="G797" s="172">
        <f t="shared" si="147"/>
        <v>95.44</v>
      </c>
      <c r="H797" s="172">
        <f t="shared" si="147"/>
        <v>103.428</v>
      </c>
      <c r="I797" s="172">
        <f t="shared" si="147"/>
        <v>546.97500000000002</v>
      </c>
      <c r="J797" s="96"/>
      <c r="K797"/>
    </row>
    <row r="798" spans="1:11" ht="15.75" thickTop="1">
      <c r="A798" s="19"/>
      <c r="B798" s="19"/>
      <c r="C798" s="19"/>
      <c r="D798" s="19"/>
      <c r="E798" s="32"/>
      <c r="F798" s="32"/>
      <c r="G798" s="32"/>
      <c r="H798" s="32"/>
      <c r="I798" s="32"/>
      <c r="J798" s="96"/>
      <c r="K798"/>
    </row>
    <row r="799" spans="1:11" s="3" customFormat="1" ht="15.75" thickBot="1">
      <c r="A799" s="41" t="s">
        <v>13</v>
      </c>
      <c r="B799" s="41"/>
      <c r="C799" s="41" t="s">
        <v>814</v>
      </c>
      <c r="D799" s="41"/>
      <c r="E799" s="167">
        <f>E791+E797</f>
        <v>6890</v>
      </c>
      <c r="F799" s="167">
        <f t="shared" ref="F799:H799" si="148">F791+F797</f>
        <v>0</v>
      </c>
      <c r="G799" s="167">
        <f t="shared" si="148"/>
        <v>1343.44</v>
      </c>
      <c r="H799" s="167">
        <f t="shared" si="148"/>
        <v>1455.4279999999999</v>
      </c>
      <c r="I799" s="167">
        <f>I797+I791</f>
        <v>7696.9750000000004</v>
      </c>
      <c r="J799" s="178"/>
    </row>
    <row r="800" spans="1:11" ht="15.75" thickTop="1">
      <c r="A800" s="19"/>
      <c r="B800" s="19"/>
      <c r="C800" s="19"/>
      <c r="D800" s="19"/>
      <c r="E800" s="20"/>
      <c r="F800" s="20"/>
      <c r="G800" s="20"/>
      <c r="H800" s="20"/>
      <c r="I800" s="20"/>
      <c r="J800" s="96"/>
      <c r="K800"/>
    </row>
    <row r="801" spans="1:11">
      <c r="A801" s="19"/>
      <c r="B801" s="19"/>
      <c r="C801" s="19" t="s">
        <v>210</v>
      </c>
      <c r="D801" s="19"/>
      <c r="E801" s="20"/>
      <c r="F801" s="20"/>
      <c r="G801" s="20"/>
      <c r="H801" s="20"/>
      <c r="I801" s="20"/>
      <c r="J801" s="96"/>
      <c r="K801"/>
    </row>
    <row r="802" spans="1:11">
      <c r="A802" s="19" t="s">
        <v>1105</v>
      </c>
      <c r="B802" s="19" t="s">
        <v>1054</v>
      </c>
      <c r="C802" s="19" t="s">
        <v>416</v>
      </c>
      <c r="D802" s="19"/>
      <c r="E802" s="32">
        <v>2106</v>
      </c>
      <c r="F802" s="32">
        <v>0</v>
      </c>
      <c r="G802" s="32">
        <v>1953.61</v>
      </c>
      <c r="H802" s="32">
        <f>(G802/9)*12</f>
        <v>2604.813333333333</v>
      </c>
      <c r="I802" s="32">
        <v>2150</v>
      </c>
      <c r="J802" s="96"/>
      <c r="K802"/>
    </row>
    <row r="803" spans="1:11">
      <c r="A803" s="19" t="s">
        <v>414</v>
      </c>
      <c r="B803" s="19"/>
      <c r="C803" s="19" t="s">
        <v>1281</v>
      </c>
      <c r="D803" s="19"/>
      <c r="E803" s="32">
        <v>2700</v>
      </c>
      <c r="F803" s="32">
        <v>0</v>
      </c>
      <c r="G803" s="32">
        <v>1502.25</v>
      </c>
      <c r="H803" s="32">
        <f>(G803/9)*12</f>
        <v>2003</v>
      </c>
      <c r="I803" s="32">
        <v>2065</v>
      </c>
      <c r="J803" s="95"/>
      <c r="K803"/>
    </row>
    <row r="804" spans="1:11">
      <c r="A804" s="19" t="s">
        <v>415</v>
      </c>
      <c r="B804" s="19"/>
      <c r="C804" s="19" t="s">
        <v>1282</v>
      </c>
      <c r="D804" s="19"/>
      <c r="E804" s="32">
        <v>1000</v>
      </c>
      <c r="F804" s="32">
        <v>0</v>
      </c>
      <c r="G804" s="32">
        <v>877.88</v>
      </c>
      <c r="H804" s="32">
        <f t="shared" ref="H804:H805" si="149">(G804/9)*12</f>
        <v>1170.5066666666667</v>
      </c>
      <c r="I804" s="32">
        <v>1210</v>
      </c>
      <c r="J804" s="96"/>
      <c r="K804"/>
    </row>
    <row r="805" spans="1:11">
      <c r="A805" s="19" t="s">
        <v>1106</v>
      </c>
      <c r="B805" s="19" t="s">
        <v>1054</v>
      </c>
      <c r="C805" s="19" t="s">
        <v>417</v>
      </c>
      <c r="D805" s="19"/>
      <c r="E805" s="32">
        <v>1500</v>
      </c>
      <c r="F805" s="32">
        <v>0</v>
      </c>
      <c r="G805" s="32">
        <v>1124</v>
      </c>
      <c r="H805" s="32">
        <f t="shared" si="149"/>
        <v>1498.6666666666665</v>
      </c>
      <c r="I805" s="32">
        <v>1500</v>
      </c>
      <c r="J805" s="96"/>
      <c r="K805"/>
    </row>
    <row r="806" spans="1:11">
      <c r="A806" s="19" t="s">
        <v>1246</v>
      </c>
      <c r="B806" s="19" t="s">
        <v>1054</v>
      </c>
      <c r="C806" s="19" t="s">
        <v>251</v>
      </c>
      <c r="D806" s="19"/>
      <c r="E806" s="32">
        <v>0</v>
      </c>
      <c r="F806" s="32">
        <v>0</v>
      </c>
      <c r="G806" s="32"/>
      <c r="H806" s="32"/>
      <c r="I806" s="32"/>
      <c r="J806" s="96"/>
      <c r="K806"/>
    </row>
    <row r="807" spans="1:11" s="3" customFormat="1" ht="15.75" thickBot="1">
      <c r="A807" s="41" t="s">
        <v>13</v>
      </c>
      <c r="B807" s="41"/>
      <c r="C807" s="41" t="s">
        <v>816</v>
      </c>
      <c r="D807" s="41"/>
      <c r="E807" s="167">
        <f>SUM(E802:E806)</f>
        <v>7306</v>
      </c>
      <c r="F807" s="167">
        <f>SUM(F802:F806)</f>
        <v>0</v>
      </c>
      <c r="G807" s="167">
        <f t="shared" ref="G807:I807" si="150">SUM(G802:G805)</f>
        <v>5457.74</v>
      </c>
      <c r="H807" s="167">
        <f t="shared" si="150"/>
        <v>7276.9866666666658</v>
      </c>
      <c r="I807" s="167">
        <f t="shared" si="150"/>
        <v>6925</v>
      </c>
      <c r="J807" s="178"/>
    </row>
    <row r="808" spans="1:11" ht="15.75" thickTop="1">
      <c r="A808" s="19"/>
      <c r="B808" s="19"/>
      <c r="C808" s="19"/>
      <c r="D808" s="19"/>
      <c r="E808" s="32"/>
      <c r="F808" s="32"/>
      <c r="G808" s="32"/>
      <c r="H808" s="32"/>
      <c r="I808" s="32"/>
      <c r="J808" s="96"/>
      <c r="K808"/>
    </row>
    <row r="809" spans="1:11">
      <c r="A809" s="19" t="s">
        <v>13</v>
      </c>
      <c r="B809" s="19"/>
      <c r="C809" s="19" t="s">
        <v>212</v>
      </c>
      <c r="D809" s="19"/>
      <c r="E809" s="32" t="s">
        <v>13</v>
      </c>
      <c r="F809" s="32" t="s">
        <v>13</v>
      </c>
      <c r="G809" s="32" t="s">
        <v>13</v>
      </c>
      <c r="H809" s="32" t="s">
        <v>13</v>
      </c>
      <c r="I809" s="32"/>
      <c r="J809" s="96"/>
      <c r="K809"/>
    </row>
    <row r="810" spans="1:11">
      <c r="A810" s="19" t="s">
        <v>418</v>
      </c>
      <c r="B810" s="19"/>
      <c r="C810" s="19" t="s">
        <v>271</v>
      </c>
      <c r="D810" s="19"/>
      <c r="E810" s="32">
        <v>500</v>
      </c>
      <c r="F810" s="32">
        <v>0</v>
      </c>
      <c r="G810" s="32">
        <v>3687.26</v>
      </c>
      <c r="H810" s="32">
        <f>(G810/9)*12</f>
        <v>4916.3466666666673</v>
      </c>
      <c r="I810" s="32">
        <v>300</v>
      </c>
      <c r="J810" s="96"/>
      <c r="K810"/>
    </row>
    <row r="811" spans="1:11" s="3" customFormat="1" ht="15.75" thickBot="1">
      <c r="A811" s="41" t="s">
        <v>13</v>
      </c>
      <c r="B811" s="41"/>
      <c r="C811" s="41" t="s">
        <v>817</v>
      </c>
      <c r="D811" s="41"/>
      <c r="E811" s="167">
        <f>SUM(E810)</f>
        <v>500</v>
      </c>
      <c r="F811" s="167">
        <f t="shared" ref="F811:H811" si="151">SUM(F810)</f>
        <v>0</v>
      </c>
      <c r="G811" s="167">
        <f t="shared" si="151"/>
        <v>3687.26</v>
      </c>
      <c r="H811" s="167">
        <f t="shared" si="151"/>
        <v>4916.3466666666673</v>
      </c>
      <c r="I811" s="167">
        <f>SUM(I810)</f>
        <v>300</v>
      </c>
      <c r="J811" s="178"/>
    </row>
    <row r="812" spans="1:11" ht="15.75" thickTop="1">
      <c r="A812" s="19"/>
      <c r="B812" s="19"/>
      <c r="C812" s="19"/>
      <c r="D812" s="19"/>
      <c r="E812" s="32"/>
      <c r="F812" s="32"/>
      <c r="G812" s="32"/>
      <c r="H812" s="32"/>
      <c r="I812" s="32"/>
      <c r="J812" s="96"/>
      <c r="K812"/>
    </row>
    <row r="813" spans="1:11">
      <c r="A813" s="19" t="s">
        <v>13</v>
      </c>
      <c r="B813" s="19"/>
      <c r="C813" s="19" t="s">
        <v>781</v>
      </c>
      <c r="D813" s="19"/>
      <c r="E813" s="32" t="s">
        <v>13</v>
      </c>
      <c r="F813" s="32" t="s">
        <v>13</v>
      </c>
      <c r="G813" s="32" t="s">
        <v>13</v>
      </c>
      <c r="H813" s="32" t="s">
        <v>13</v>
      </c>
      <c r="I813" s="32"/>
      <c r="J813" s="96"/>
      <c r="K813"/>
    </row>
    <row r="814" spans="1:11">
      <c r="A814" s="19" t="s">
        <v>1208</v>
      </c>
      <c r="B814" s="19" t="s">
        <v>1054</v>
      </c>
      <c r="C814" s="19" t="s">
        <v>1209</v>
      </c>
      <c r="D814" s="19"/>
      <c r="E814" s="32">
        <v>0</v>
      </c>
      <c r="F814" s="32">
        <v>0</v>
      </c>
      <c r="G814" s="32">
        <v>0</v>
      </c>
      <c r="H814" s="32">
        <f>(G814/9)*12</f>
        <v>0</v>
      </c>
      <c r="I814" s="32">
        <v>250</v>
      </c>
      <c r="J814" s="96"/>
      <c r="K814"/>
    </row>
    <row r="815" spans="1:11" s="3" customFormat="1" ht="15.75" thickBot="1">
      <c r="A815" s="41" t="s">
        <v>13</v>
      </c>
      <c r="B815" s="41"/>
      <c r="C815" s="41" t="s">
        <v>930</v>
      </c>
      <c r="D815" s="41"/>
      <c r="E815" s="167">
        <f>SUM(E814)</f>
        <v>0</v>
      </c>
      <c r="F815" s="167">
        <f t="shared" ref="F815:H815" si="152">SUM(F814)</f>
        <v>0</v>
      </c>
      <c r="G815" s="167">
        <f t="shared" si="152"/>
        <v>0</v>
      </c>
      <c r="H815" s="167">
        <f t="shared" si="152"/>
        <v>0</v>
      </c>
      <c r="I815" s="167">
        <f>SUM(I814)</f>
        <v>250</v>
      </c>
      <c r="J815" s="178"/>
    </row>
    <row r="816" spans="1:11" ht="15.75" thickTop="1">
      <c r="A816" s="19"/>
      <c r="B816" s="19"/>
      <c r="C816" s="19"/>
      <c r="D816" s="19"/>
      <c r="E816" s="32"/>
      <c r="F816" s="32"/>
      <c r="G816" s="32"/>
      <c r="H816" s="32"/>
      <c r="I816" s="32"/>
      <c r="J816" s="96"/>
      <c r="K816"/>
    </row>
    <row r="817" spans="1:11">
      <c r="A817" s="19" t="s">
        <v>13</v>
      </c>
      <c r="B817" s="19"/>
      <c r="C817" s="19" t="s">
        <v>32</v>
      </c>
      <c r="D817" s="19"/>
      <c r="E817" s="32" t="s">
        <v>13</v>
      </c>
      <c r="F817" s="32" t="s">
        <v>13</v>
      </c>
      <c r="G817" s="32" t="s">
        <v>13</v>
      </c>
      <c r="H817" s="32" t="s">
        <v>13</v>
      </c>
      <c r="I817" s="32"/>
      <c r="J817" s="96"/>
      <c r="K817"/>
    </row>
    <row r="818" spans="1:11">
      <c r="A818" s="19" t="s">
        <v>453</v>
      </c>
      <c r="B818" s="19"/>
      <c r="C818" s="19" t="s">
        <v>32</v>
      </c>
      <c r="D818" s="19"/>
      <c r="E818" s="32">
        <v>0</v>
      </c>
      <c r="F818" s="32">
        <v>0</v>
      </c>
      <c r="G818" s="32">
        <v>0</v>
      </c>
      <c r="H818" s="32">
        <v>0</v>
      </c>
      <c r="I818" s="32">
        <v>0</v>
      </c>
      <c r="J818" s="96"/>
      <c r="K818"/>
    </row>
    <row r="819" spans="1:11" s="3" customFormat="1" ht="15.75" thickBot="1">
      <c r="A819" s="41"/>
      <c r="B819" s="41"/>
      <c r="C819" s="41" t="s">
        <v>841</v>
      </c>
      <c r="D819" s="41"/>
      <c r="E819" s="167">
        <f>SUM(E818)</f>
        <v>0</v>
      </c>
      <c r="F819" s="167">
        <f t="shared" ref="F819:H819" si="153">SUM(F818)</f>
        <v>0</v>
      </c>
      <c r="G819" s="167">
        <f t="shared" si="153"/>
        <v>0</v>
      </c>
      <c r="H819" s="167">
        <f t="shared" si="153"/>
        <v>0</v>
      </c>
      <c r="I819" s="167">
        <f>SUM(I818)</f>
        <v>0</v>
      </c>
      <c r="J819" s="178"/>
    </row>
    <row r="820" spans="1:11" ht="15.75" thickTop="1">
      <c r="A820" s="19"/>
      <c r="B820" s="19"/>
      <c r="C820" s="19"/>
      <c r="D820" s="19"/>
      <c r="E820" s="20"/>
      <c r="F820" s="20"/>
      <c r="G820" s="20"/>
      <c r="H820" s="20"/>
      <c r="I820" s="20"/>
      <c r="J820" s="96"/>
      <c r="K820"/>
    </row>
    <row r="821" spans="1:11" ht="15.75" thickBot="1">
      <c r="A821" s="19"/>
      <c r="B821" s="19"/>
      <c r="C821" s="41" t="s">
        <v>853</v>
      </c>
      <c r="D821" s="19"/>
      <c r="E821" s="171">
        <f>E799+E807+E811+E819</f>
        <v>14696</v>
      </c>
      <c r="F821" s="171">
        <f>F799+F807+F811+F819</f>
        <v>0</v>
      </c>
      <c r="G821" s="171">
        <f>G799+G807+G811+G819</f>
        <v>10488.44</v>
      </c>
      <c r="H821" s="171">
        <f>H799+H807+H811+H819</f>
        <v>13648.761333333332</v>
      </c>
      <c r="I821" s="171">
        <f>I799+I807+I811+I819</f>
        <v>14921.975</v>
      </c>
      <c r="J821" s="96"/>
      <c r="K821"/>
    </row>
    <row r="822" spans="1:11" ht="15.75" thickTop="1">
      <c r="A822" s="19"/>
      <c r="B822" s="19"/>
      <c r="C822" s="19"/>
      <c r="D822" s="19"/>
      <c r="E822" s="20"/>
      <c r="F822" s="20"/>
      <c r="G822" s="20"/>
      <c r="H822" s="20"/>
      <c r="I822" s="20"/>
      <c r="J822" s="168"/>
      <c r="K822" s="19"/>
    </row>
    <row r="823" spans="1:11">
      <c r="A823" s="19"/>
      <c r="B823" s="19"/>
      <c r="C823" s="19"/>
      <c r="D823" s="19"/>
      <c r="E823" s="20"/>
      <c r="F823" s="20"/>
      <c r="G823" s="20"/>
      <c r="H823" s="20"/>
      <c r="I823" s="20"/>
      <c r="J823" s="168"/>
      <c r="K823" s="19"/>
    </row>
    <row r="824" spans="1:11">
      <c r="A824" s="201" t="s">
        <v>705</v>
      </c>
      <c r="B824" s="201"/>
      <c r="C824" s="201"/>
      <c r="D824" s="201"/>
      <c r="E824" s="201"/>
      <c r="F824" s="201"/>
      <c r="G824" s="201"/>
      <c r="H824" s="201"/>
      <c r="I824" s="201"/>
      <c r="J824" s="201"/>
      <c r="K824"/>
    </row>
    <row r="825" spans="1:11">
      <c r="A825" s="19"/>
      <c r="B825" s="19"/>
      <c r="C825" s="19" t="s">
        <v>204</v>
      </c>
      <c r="D825" s="19"/>
      <c r="E825" s="20"/>
      <c r="F825" s="20"/>
      <c r="G825" s="20"/>
      <c r="H825" s="20"/>
      <c r="I825" s="20"/>
      <c r="J825" s="168"/>
      <c r="K825" s="19"/>
    </row>
    <row r="826" spans="1:11">
      <c r="A826" s="19" t="s">
        <v>420</v>
      </c>
      <c r="B826" s="19"/>
      <c r="C826" s="19" t="s">
        <v>879</v>
      </c>
      <c r="D826" s="19"/>
      <c r="E826" s="32">
        <v>70000</v>
      </c>
      <c r="F826" s="32">
        <v>0</v>
      </c>
      <c r="G826" s="32">
        <v>63995.14</v>
      </c>
      <c r="H826" s="32">
        <f>(G826/24)*26</f>
        <v>69328.068333333329</v>
      </c>
      <c r="I826" s="32">
        <v>88500</v>
      </c>
      <c r="J826" s="96"/>
      <c r="K826"/>
    </row>
    <row r="827" spans="1:11" ht="15.75" thickBot="1">
      <c r="A827" s="19"/>
      <c r="B827" s="19"/>
      <c r="C827" s="19" t="s">
        <v>820</v>
      </c>
      <c r="D827" s="19"/>
      <c r="E827" s="172">
        <f>SUM(E826)</f>
        <v>70000</v>
      </c>
      <c r="F827" s="172">
        <f t="shared" ref="F827:H827" si="154">SUM(F826)</f>
        <v>0</v>
      </c>
      <c r="G827" s="172">
        <f t="shared" si="154"/>
        <v>63995.14</v>
      </c>
      <c r="H827" s="172">
        <f t="shared" si="154"/>
        <v>69328.068333333329</v>
      </c>
      <c r="I827" s="172">
        <f>SUM(I826)</f>
        <v>88500</v>
      </c>
      <c r="J827" s="96"/>
      <c r="K827"/>
    </row>
    <row r="828" spans="1:11" ht="15.75" thickTop="1">
      <c r="A828" s="19"/>
      <c r="B828" s="19"/>
      <c r="C828" s="19"/>
      <c r="D828" s="19"/>
      <c r="E828" s="20"/>
      <c r="F828" s="20"/>
      <c r="G828" s="20"/>
      <c r="H828" s="20"/>
      <c r="I828" s="20"/>
      <c r="J828" s="96"/>
      <c r="K828"/>
    </row>
    <row r="829" spans="1:11">
      <c r="A829" s="19"/>
      <c r="B829" s="19"/>
      <c r="C829" s="19" t="s">
        <v>205</v>
      </c>
      <c r="D829" s="19"/>
      <c r="E829" s="20"/>
      <c r="F829" s="20"/>
      <c r="G829" s="20"/>
      <c r="H829" s="20"/>
      <c r="I829" s="20"/>
      <c r="J829" s="96"/>
      <c r="K829"/>
    </row>
    <row r="830" spans="1:11">
      <c r="A830" s="19"/>
      <c r="B830" s="19"/>
      <c r="C830" s="19"/>
      <c r="D830" s="19"/>
      <c r="E830" s="20"/>
      <c r="F830" s="20"/>
      <c r="G830" s="20"/>
      <c r="H830" s="20"/>
      <c r="I830" s="20"/>
      <c r="J830" s="96"/>
      <c r="K830"/>
    </row>
    <row r="831" spans="1:11">
      <c r="A831" s="19" t="s">
        <v>1283</v>
      </c>
      <c r="B831" s="19" t="s">
        <v>1054</v>
      </c>
      <c r="C831" s="19" t="s">
        <v>227</v>
      </c>
      <c r="D831" s="19"/>
      <c r="E831" s="32">
        <v>0</v>
      </c>
      <c r="F831" s="32">
        <v>0</v>
      </c>
      <c r="G831" s="32">
        <v>0</v>
      </c>
      <c r="H831" s="32">
        <v>0</v>
      </c>
      <c r="I831" s="32">
        <v>0</v>
      </c>
      <c r="J831" s="96"/>
      <c r="K831"/>
    </row>
    <row r="832" spans="1:11">
      <c r="A832" s="19" t="s">
        <v>421</v>
      </c>
      <c r="B832" s="19"/>
      <c r="C832" s="19" t="s">
        <v>215</v>
      </c>
      <c r="D832" s="19"/>
      <c r="E832" s="32">
        <v>5355</v>
      </c>
      <c r="F832" s="32">
        <v>0</v>
      </c>
      <c r="G832" s="32">
        <v>4895.6099999999997</v>
      </c>
      <c r="H832" s="32">
        <f>H827*0.0765</f>
        <v>5303.5972274999995</v>
      </c>
      <c r="I832" s="32">
        <f>I827*0.0765</f>
        <v>6770.25</v>
      </c>
      <c r="J832" s="96" t="s">
        <v>13</v>
      </c>
      <c r="K832"/>
    </row>
    <row r="833" spans="1:11">
      <c r="A833" s="19" t="s">
        <v>1284</v>
      </c>
      <c r="B833" s="19" t="s">
        <v>1054</v>
      </c>
      <c r="C833" s="19" t="s">
        <v>231</v>
      </c>
      <c r="D833" s="19"/>
      <c r="E833" s="32">
        <v>0</v>
      </c>
      <c r="F833" s="32">
        <v>0</v>
      </c>
      <c r="G833" s="32">
        <v>0</v>
      </c>
      <c r="H833" s="32">
        <v>0</v>
      </c>
      <c r="I833" s="32">
        <v>0</v>
      </c>
      <c r="J833" s="96"/>
      <c r="K833"/>
    </row>
    <row r="834" spans="1:11">
      <c r="A834" s="19" t="s">
        <v>1228</v>
      </c>
      <c r="B834" s="19" t="s">
        <v>1054</v>
      </c>
      <c r="C834" s="19" t="s">
        <v>1219</v>
      </c>
      <c r="D834" s="19"/>
      <c r="E834" s="32">
        <v>0</v>
      </c>
      <c r="F834" s="32">
        <v>0</v>
      </c>
      <c r="G834" s="32">
        <v>0</v>
      </c>
      <c r="H834" s="32">
        <v>0</v>
      </c>
      <c r="I834" s="32">
        <v>0</v>
      </c>
      <c r="J834" s="96"/>
      <c r="K834"/>
    </row>
    <row r="835" spans="1:11">
      <c r="A835" s="19" t="s">
        <v>1285</v>
      </c>
      <c r="B835" s="19" t="s">
        <v>1054</v>
      </c>
      <c r="C835" s="19" t="s">
        <v>234</v>
      </c>
      <c r="D835" s="19"/>
      <c r="E835" s="32">
        <v>0</v>
      </c>
      <c r="F835" s="32">
        <v>0</v>
      </c>
      <c r="G835" s="32">
        <v>0</v>
      </c>
      <c r="H835" s="32">
        <v>0</v>
      </c>
      <c r="I835" s="32">
        <v>0</v>
      </c>
      <c r="J835" s="96"/>
      <c r="K835"/>
    </row>
    <row r="836" spans="1:11" ht="15.75" thickBot="1">
      <c r="A836" s="19" t="s">
        <v>13</v>
      </c>
      <c r="B836" s="19"/>
      <c r="C836" s="19" t="s">
        <v>821</v>
      </c>
      <c r="D836" s="19"/>
      <c r="E836" s="172">
        <f>SUM(E831:E835)</f>
        <v>5355</v>
      </c>
      <c r="F836" s="172">
        <f t="shared" ref="F836:I836" si="155">SUM(F831:F835)</f>
        <v>0</v>
      </c>
      <c r="G836" s="172">
        <f t="shared" si="155"/>
        <v>4895.6099999999997</v>
      </c>
      <c r="H836" s="172">
        <f t="shared" si="155"/>
        <v>5303.5972274999995</v>
      </c>
      <c r="I836" s="172">
        <f t="shared" si="155"/>
        <v>6770.25</v>
      </c>
      <c r="J836" s="96"/>
      <c r="K836"/>
    </row>
    <row r="837" spans="1:11" ht="15.75" thickTop="1">
      <c r="A837" s="19"/>
      <c r="B837" s="19"/>
      <c r="C837" s="19"/>
      <c r="D837" s="19"/>
      <c r="E837" s="32"/>
      <c r="F837" s="32"/>
      <c r="G837" s="32"/>
      <c r="H837" s="32"/>
      <c r="I837" s="32"/>
      <c r="J837" s="96"/>
      <c r="K837"/>
    </row>
    <row r="838" spans="1:11" s="3" customFormat="1" ht="15.75" thickBot="1">
      <c r="A838" s="41" t="s">
        <v>13</v>
      </c>
      <c r="B838" s="41"/>
      <c r="C838" s="41" t="s">
        <v>814</v>
      </c>
      <c r="D838" s="41"/>
      <c r="E838" s="167">
        <f>E827+E836</f>
        <v>75355</v>
      </c>
      <c r="F838" s="167">
        <f t="shared" ref="F838:I838" si="156">F827+F836</f>
        <v>0</v>
      </c>
      <c r="G838" s="167">
        <f t="shared" si="156"/>
        <v>68890.75</v>
      </c>
      <c r="H838" s="167">
        <f t="shared" si="156"/>
        <v>74631.665560833324</v>
      </c>
      <c r="I838" s="167">
        <f t="shared" si="156"/>
        <v>95270.25</v>
      </c>
      <c r="J838" s="178"/>
    </row>
    <row r="839" spans="1:11" ht="15.75" thickTop="1">
      <c r="A839" s="19"/>
      <c r="B839" s="19"/>
      <c r="C839" s="19"/>
      <c r="D839" s="19"/>
      <c r="E839" s="32"/>
      <c r="F839" s="32"/>
      <c r="G839" s="32"/>
      <c r="H839" s="32"/>
      <c r="I839" s="32"/>
      <c r="J839" s="96"/>
      <c r="K839"/>
    </row>
    <row r="840" spans="1:11">
      <c r="A840" s="19" t="s">
        <v>13</v>
      </c>
      <c r="B840" s="19"/>
      <c r="C840" s="19" t="s">
        <v>207</v>
      </c>
      <c r="D840" s="19"/>
      <c r="E840" s="32" t="s">
        <v>13</v>
      </c>
      <c r="F840" s="32" t="s">
        <v>13</v>
      </c>
      <c r="G840" s="32" t="s">
        <v>13</v>
      </c>
      <c r="H840" s="32" t="s">
        <v>13</v>
      </c>
      <c r="I840" s="32"/>
      <c r="J840" s="96"/>
      <c r="K840"/>
    </row>
    <row r="841" spans="1:11">
      <c r="A841" s="19" t="s">
        <v>1019</v>
      </c>
      <c r="B841" s="19" t="s">
        <v>1054</v>
      </c>
      <c r="C841" s="19" t="s">
        <v>422</v>
      </c>
      <c r="D841" s="19"/>
      <c r="E841" s="32">
        <v>1000</v>
      </c>
      <c r="F841" s="32">
        <v>0</v>
      </c>
      <c r="G841" s="32">
        <v>0</v>
      </c>
      <c r="H841" s="32">
        <v>0</v>
      </c>
      <c r="I841" s="32">
        <v>800</v>
      </c>
      <c r="J841" s="95" t="s">
        <v>1295</v>
      </c>
      <c r="K841"/>
    </row>
    <row r="842" spans="1:11" s="3" customFormat="1" ht="15.75" thickBot="1">
      <c r="A842" s="41" t="s">
        <v>13</v>
      </c>
      <c r="B842" s="41"/>
      <c r="C842" s="41" t="s">
        <v>815</v>
      </c>
      <c r="D842" s="41"/>
      <c r="E842" s="167">
        <f>SUM(E841)</f>
        <v>1000</v>
      </c>
      <c r="F842" s="167">
        <f t="shared" ref="F842:H842" si="157">SUM(F841)</f>
        <v>0</v>
      </c>
      <c r="G842" s="167">
        <f t="shared" si="157"/>
        <v>0</v>
      </c>
      <c r="H842" s="167">
        <f t="shared" si="157"/>
        <v>0</v>
      </c>
      <c r="I842" s="167">
        <f>SUM(I841)</f>
        <v>800</v>
      </c>
      <c r="J842" s="164"/>
    </row>
    <row r="843" spans="1:11" ht="15.75" thickTop="1">
      <c r="A843" s="19"/>
      <c r="B843" s="19"/>
      <c r="C843" s="19"/>
      <c r="D843" s="19"/>
      <c r="E843" s="32"/>
      <c r="F843" s="32"/>
      <c r="G843" s="32"/>
      <c r="H843" s="32"/>
      <c r="I843" s="32"/>
      <c r="J843" s="95"/>
      <c r="K843"/>
    </row>
    <row r="844" spans="1:11">
      <c r="A844" s="19" t="s">
        <v>13</v>
      </c>
      <c r="B844" s="19"/>
      <c r="C844" s="19" t="s">
        <v>210</v>
      </c>
      <c r="D844" s="19"/>
      <c r="E844" s="32" t="s">
        <v>13</v>
      </c>
      <c r="F844" s="32" t="s">
        <v>13</v>
      </c>
      <c r="G844" s="32" t="s">
        <v>13</v>
      </c>
      <c r="H844" s="32" t="s">
        <v>13</v>
      </c>
      <c r="I844" s="32"/>
      <c r="J844" s="95"/>
      <c r="K844"/>
    </row>
    <row r="845" spans="1:11">
      <c r="A845" s="19" t="s">
        <v>1107</v>
      </c>
      <c r="B845" s="19" t="s">
        <v>1054</v>
      </c>
      <c r="C845" s="19" t="s">
        <v>29</v>
      </c>
      <c r="D845" s="19"/>
      <c r="E845" s="32">
        <v>450</v>
      </c>
      <c r="F845" s="32">
        <v>0</v>
      </c>
      <c r="G845" s="32">
        <v>900.95</v>
      </c>
      <c r="H845" s="32">
        <v>900.95</v>
      </c>
      <c r="I845" s="32">
        <v>850</v>
      </c>
      <c r="J845" s="95"/>
      <c r="K845"/>
    </row>
    <row r="846" spans="1:11">
      <c r="A846" s="19" t="s">
        <v>423</v>
      </c>
      <c r="B846" s="19"/>
      <c r="C846" s="19" t="s">
        <v>243</v>
      </c>
      <c r="D846" s="19"/>
      <c r="E846" s="32">
        <v>240</v>
      </c>
      <c r="F846" s="32">
        <v>0</v>
      </c>
      <c r="G846" s="32">
        <v>170</v>
      </c>
      <c r="H846" s="32">
        <f>((G846/11)*12)</f>
        <v>185.45454545454547</v>
      </c>
      <c r="I846" s="32">
        <v>360</v>
      </c>
      <c r="J846" s="95"/>
      <c r="K846"/>
    </row>
    <row r="847" spans="1:11">
      <c r="A847" s="180" t="s">
        <v>424</v>
      </c>
      <c r="B847" s="19" t="s">
        <v>1054</v>
      </c>
      <c r="C847" s="19" t="s">
        <v>1108</v>
      </c>
      <c r="D847" s="19"/>
      <c r="E847" s="32">
        <v>7500</v>
      </c>
      <c r="F847" s="32">
        <v>0</v>
      </c>
      <c r="G847" s="32">
        <v>6802.01</v>
      </c>
      <c r="H847" s="32">
        <f>((G847/11)*12)</f>
        <v>7420.374545454546</v>
      </c>
      <c r="I847" s="32">
        <v>7250</v>
      </c>
      <c r="J847" s="95"/>
      <c r="K847"/>
    </row>
    <row r="848" spans="1:11">
      <c r="A848" s="19" t="s">
        <v>963</v>
      </c>
      <c r="B848" s="19"/>
      <c r="C848" s="19" t="s">
        <v>960</v>
      </c>
      <c r="D848" s="19"/>
      <c r="E848" s="32">
        <v>0</v>
      </c>
      <c r="F848" s="32"/>
      <c r="G848" s="32">
        <v>885.71</v>
      </c>
      <c r="H848" s="32">
        <v>885.71</v>
      </c>
      <c r="I848" s="32">
        <v>0</v>
      </c>
      <c r="J848" s="95"/>
      <c r="K848"/>
    </row>
    <row r="849" spans="1:11">
      <c r="A849" s="19" t="s">
        <v>426</v>
      </c>
      <c r="B849" s="19"/>
      <c r="C849" s="19" t="s">
        <v>1286</v>
      </c>
      <c r="D849" s="19"/>
      <c r="E849" s="32">
        <v>7500</v>
      </c>
      <c r="F849" s="32">
        <v>0</v>
      </c>
      <c r="G849" s="32">
        <v>5718.75</v>
      </c>
      <c r="H849" s="32">
        <f>((G849/11)*12)</f>
        <v>6238.636363636364</v>
      </c>
      <c r="I849" s="32">
        <v>6430</v>
      </c>
      <c r="J849" s="95"/>
      <c r="K849"/>
    </row>
    <row r="850" spans="1:11">
      <c r="A850" s="19" t="s">
        <v>427</v>
      </c>
      <c r="B850" s="19"/>
      <c r="C850" s="19" t="s">
        <v>1287</v>
      </c>
      <c r="D850" s="19"/>
      <c r="E850" s="32">
        <v>2100</v>
      </c>
      <c r="F850" s="32">
        <v>0</v>
      </c>
      <c r="G850" s="32">
        <v>1485.43</v>
      </c>
      <c r="H850" s="32">
        <f t="shared" ref="H850:H852" si="158">((G850/11)*12)</f>
        <v>1620.4690909090909</v>
      </c>
      <c r="I850" s="32">
        <v>1670</v>
      </c>
      <c r="J850" s="95"/>
      <c r="K850"/>
    </row>
    <row r="851" spans="1:11">
      <c r="A851" s="19" t="s">
        <v>1247</v>
      </c>
      <c r="B851" s="19"/>
      <c r="C851" s="19" t="s">
        <v>251</v>
      </c>
      <c r="D851" s="19"/>
      <c r="E851" s="32">
        <v>0</v>
      </c>
      <c r="F851" s="32">
        <v>0</v>
      </c>
      <c r="G851" s="32">
        <v>0</v>
      </c>
      <c r="H851" s="32">
        <v>0</v>
      </c>
      <c r="I851" s="32">
        <v>0</v>
      </c>
      <c r="J851" s="95"/>
      <c r="K851"/>
    </row>
    <row r="852" spans="1:11">
      <c r="A852" s="19" t="s">
        <v>429</v>
      </c>
      <c r="B852" s="19"/>
      <c r="C852" s="19" t="s">
        <v>266</v>
      </c>
      <c r="D852" s="19"/>
      <c r="E852" s="32">
        <v>2460</v>
      </c>
      <c r="F852" s="32">
        <v>0</v>
      </c>
      <c r="G852" s="32">
        <v>1995.59</v>
      </c>
      <c r="H852" s="32">
        <f t="shared" si="158"/>
        <v>2177.0072727272727</v>
      </c>
      <c r="I852" s="32">
        <v>2180</v>
      </c>
      <c r="J852" s="95"/>
      <c r="K852"/>
    </row>
    <row r="853" spans="1:11">
      <c r="A853" s="19" t="s">
        <v>1109</v>
      </c>
      <c r="B853" s="19" t="s">
        <v>1054</v>
      </c>
      <c r="C853" s="19" t="s">
        <v>425</v>
      </c>
      <c r="D853" s="19"/>
      <c r="E853" s="32">
        <v>2000</v>
      </c>
      <c r="F853" s="32">
        <v>0</v>
      </c>
      <c r="G853" s="32">
        <v>2480</v>
      </c>
      <c r="H853" s="32">
        <v>2480</v>
      </c>
      <c r="I853" s="32">
        <v>2500</v>
      </c>
      <c r="J853" s="95"/>
      <c r="K853"/>
    </row>
    <row r="854" spans="1:11" s="3" customFormat="1" ht="15.75" thickBot="1">
      <c r="A854" s="41"/>
      <c r="B854" s="41"/>
      <c r="C854" s="41" t="s">
        <v>816</v>
      </c>
      <c r="D854" s="41"/>
      <c r="E854" s="167">
        <f>SUM(E845:E853)</f>
        <v>22250</v>
      </c>
      <c r="F854" s="167">
        <f t="shared" ref="F854:I854" si="159">SUM(F845:F853)</f>
        <v>0</v>
      </c>
      <c r="G854" s="167">
        <f t="shared" si="159"/>
        <v>20438.439999999999</v>
      </c>
      <c r="H854" s="167">
        <f t="shared" si="159"/>
        <v>21908.601818181814</v>
      </c>
      <c r="I854" s="167">
        <f t="shared" si="159"/>
        <v>21240</v>
      </c>
      <c r="J854" s="164"/>
    </row>
    <row r="855" spans="1:11" ht="15.75" thickTop="1">
      <c r="A855" s="19"/>
      <c r="B855" s="19"/>
      <c r="C855" s="19"/>
      <c r="D855" s="19"/>
      <c r="E855" s="20"/>
      <c r="F855" s="20"/>
      <c r="G855" s="20"/>
      <c r="H855" s="20"/>
      <c r="I855" s="20"/>
      <c r="J855" s="95"/>
      <c r="K855"/>
    </row>
    <row r="856" spans="1:11">
      <c r="A856" s="19"/>
      <c r="B856" s="19"/>
      <c r="C856" s="19" t="s">
        <v>212</v>
      </c>
      <c r="D856" s="19"/>
      <c r="E856" s="20"/>
      <c r="F856" s="20"/>
      <c r="G856" s="20"/>
      <c r="H856" s="20"/>
      <c r="I856" s="20"/>
      <c r="J856" s="95"/>
      <c r="K856"/>
    </row>
    <row r="857" spans="1:11">
      <c r="A857" s="19" t="s">
        <v>430</v>
      </c>
      <c r="B857" s="19"/>
      <c r="C857" s="19" t="s">
        <v>271</v>
      </c>
      <c r="D857" s="19"/>
      <c r="E857" s="32">
        <v>2000</v>
      </c>
      <c r="F857" s="32">
        <v>0</v>
      </c>
      <c r="G857" s="32">
        <v>757.1</v>
      </c>
      <c r="H857" s="32">
        <f t="shared" ref="H857" si="160">(G857/11)*12</f>
        <v>825.92727272727279</v>
      </c>
      <c r="I857" s="32">
        <v>250</v>
      </c>
      <c r="J857" s="95" t="s">
        <v>13</v>
      </c>
      <c r="K857"/>
    </row>
    <row r="858" spans="1:11" s="3" customFormat="1" ht="15.75" thickBot="1">
      <c r="A858" s="41" t="s">
        <v>13</v>
      </c>
      <c r="B858" s="41"/>
      <c r="C858" s="41" t="s">
        <v>817</v>
      </c>
      <c r="D858" s="41"/>
      <c r="E858" s="167">
        <f>SUM(E857)</f>
        <v>2000</v>
      </c>
      <c r="F858" s="167">
        <f t="shared" ref="F858:I858" si="161">SUM(F857)</f>
        <v>0</v>
      </c>
      <c r="G858" s="167">
        <f t="shared" si="161"/>
        <v>757.1</v>
      </c>
      <c r="H858" s="167">
        <f t="shared" si="161"/>
        <v>825.92727272727279</v>
      </c>
      <c r="I858" s="167">
        <f t="shared" si="161"/>
        <v>250</v>
      </c>
      <c r="J858" s="164"/>
    </row>
    <row r="859" spans="1:11" ht="15.75" thickTop="1">
      <c r="A859" s="19"/>
      <c r="B859" s="19"/>
      <c r="C859" s="19"/>
      <c r="D859" s="19"/>
      <c r="E859" s="20"/>
      <c r="F859" s="20"/>
      <c r="G859" s="20"/>
      <c r="H859" s="20"/>
      <c r="I859" s="20"/>
      <c r="J859" s="95"/>
      <c r="K859"/>
    </row>
    <row r="860" spans="1:11">
      <c r="A860" s="19"/>
      <c r="B860" s="19"/>
      <c r="C860" s="19" t="s">
        <v>781</v>
      </c>
      <c r="D860" s="19"/>
      <c r="E860" s="20"/>
      <c r="F860" s="20"/>
      <c r="G860" s="20"/>
      <c r="H860" s="20"/>
      <c r="I860" s="20"/>
      <c r="J860" s="95"/>
      <c r="K860"/>
    </row>
    <row r="861" spans="1:11">
      <c r="A861" s="19" t="s">
        <v>1211</v>
      </c>
      <c r="B861" s="19"/>
      <c r="C861" s="19" t="s">
        <v>1210</v>
      </c>
      <c r="D861" s="19"/>
      <c r="E861" s="32">
        <v>0</v>
      </c>
      <c r="F861" s="32">
        <v>0</v>
      </c>
      <c r="G861" s="32">
        <v>0</v>
      </c>
      <c r="H861" s="32">
        <f t="shared" ref="H861" si="162">(G861/11)*12</f>
        <v>0</v>
      </c>
      <c r="I861" s="32">
        <v>500</v>
      </c>
      <c r="J861" s="95" t="s">
        <v>13</v>
      </c>
      <c r="K861"/>
    </row>
    <row r="862" spans="1:11" s="3" customFormat="1" ht="15.75" thickBot="1">
      <c r="A862" s="41" t="s">
        <v>13</v>
      </c>
      <c r="B862" s="41"/>
      <c r="C862" s="41" t="s">
        <v>822</v>
      </c>
      <c r="D862" s="41"/>
      <c r="E862" s="167">
        <f>SUM(E861)</f>
        <v>0</v>
      </c>
      <c r="F862" s="167">
        <f t="shared" ref="F862:I862" si="163">SUM(F861)</f>
        <v>0</v>
      </c>
      <c r="G862" s="167">
        <f t="shared" si="163"/>
        <v>0</v>
      </c>
      <c r="H862" s="167">
        <f t="shared" si="163"/>
        <v>0</v>
      </c>
      <c r="I862" s="167">
        <f t="shared" si="163"/>
        <v>500</v>
      </c>
      <c r="J862" s="164"/>
    </row>
    <row r="863" spans="1:11" ht="15.75" thickTop="1">
      <c r="A863" s="19"/>
      <c r="B863" s="19"/>
      <c r="C863" s="19"/>
      <c r="D863" s="19"/>
      <c r="E863" s="32"/>
      <c r="F863" s="32"/>
      <c r="G863" s="32"/>
      <c r="H863" s="32"/>
      <c r="I863" s="32"/>
      <c r="J863" s="95"/>
      <c r="K863"/>
    </row>
    <row r="864" spans="1:11">
      <c r="A864" s="19" t="s">
        <v>13</v>
      </c>
      <c r="B864" s="19"/>
      <c r="C864" s="19" t="s">
        <v>380</v>
      </c>
      <c r="D864" s="19"/>
      <c r="E864" s="32" t="s">
        <v>13</v>
      </c>
      <c r="F864" s="32" t="s">
        <v>13</v>
      </c>
      <c r="G864" s="32" t="s">
        <v>13</v>
      </c>
      <c r="H864" s="32" t="s">
        <v>13</v>
      </c>
      <c r="I864" s="32"/>
      <c r="J864" s="95"/>
      <c r="K864"/>
    </row>
    <row r="865" spans="1:11">
      <c r="A865" s="19" t="s">
        <v>1110</v>
      </c>
      <c r="B865" s="19" t="s">
        <v>1054</v>
      </c>
      <c r="C865" s="19" t="s">
        <v>697</v>
      </c>
      <c r="D865" s="19"/>
      <c r="E865" s="32">
        <v>6000</v>
      </c>
      <c r="F865" s="32">
        <v>0</v>
      </c>
      <c r="G865" s="32">
        <v>6538.18</v>
      </c>
      <c r="H865" s="32">
        <f>(G865/11)*12</f>
        <v>7132.5599999999995</v>
      </c>
      <c r="I865" s="32">
        <v>5000</v>
      </c>
      <c r="J865" s="95"/>
      <c r="K865"/>
    </row>
    <row r="866" spans="1:11">
      <c r="A866" s="19" t="s">
        <v>1111</v>
      </c>
      <c r="B866" s="19" t="s">
        <v>1054</v>
      </c>
      <c r="C866" s="19" t="s">
        <v>428</v>
      </c>
      <c r="D866" s="19"/>
      <c r="E866" s="32">
        <v>700</v>
      </c>
      <c r="F866" s="32">
        <v>0</v>
      </c>
      <c r="G866" s="32">
        <v>479.45</v>
      </c>
      <c r="H866" s="32">
        <f>((G866/11)*12)</f>
        <v>523.0363636363636</v>
      </c>
      <c r="I866" s="32">
        <v>700</v>
      </c>
      <c r="J866" s="95"/>
      <c r="K866"/>
    </row>
    <row r="867" spans="1:11">
      <c r="A867" s="19" t="s">
        <v>1112</v>
      </c>
      <c r="B867" s="19"/>
      <c r="C867" s="19" t="s">
        <v>431</v>
      </c>
      <c r="D867" s="19"/>
      <c r="E867" s="32">
        <v>4000</v>
      </c>
      <c r="F867" s="32">
        <v>0</v>
      </c>
      <c r="G867" s="32">
        <v>2618.13</v>
      </c>
      <c r="H867" s="32">
        <v>2618.13</v>
      </c>
      <c r="I867" s="32">
        <v>4000</v>
      </c>
      <c r="J867" s="95"/>
      <c r="K867"/>
    </row>
    <row r="868" spans="1:11" s="3" customFormat="1" ht="15.75" thickBot="1">
      <c r="A868" s="41" t="s">
        <v>13</v>
      </c>
      <c r="B868" s="41"/>
      <c r="C868" s="41" t="s">
        <v>854</v>
      </c>
      <c r="D868" s="41"/>
      <c r="E868" s="167">
        <f>SUM(E865:E867)</f>
        <v>10700</v>
      </c>
      <c r="F868" s="167">
        <f t="shared" ref="F868:I868" si="164">SUM(F865:F867)</f>
        <v>0</v>
      </c>
      <c r="G868" s="167">
        <f t="shared" si="164"/>
        <v>9635.76</v>
      </c>
      <c r="H868" s="167">
        <f t="shared" si="164"/>
        <v>10273.726363636364</v>
      </c>
      <c r="I868" s="167">
        <f t="shared" si="164"/>
        <v>9700</v>
      </c>
      <c r="J868" s="178"/>
    </row>
    <row r="869" spans="1:11" ht="15.75" thickTop="1">
      <c r="A869" s="19"/>
      <c r="B869" s="19"/>
      <c r="C869" s="19"/>
      <c r="D869" s="19"/>
      <c r="E869" s="32"/>
      <c r="F869" s="32"/>
      <c r="G869" s="32"/>
      <c r="H869" s="32"/>
      <c r="I869" s="32"/>
      <c r="J869" s="96"/>
      <c r="K869"/>
    </row>
    <row r="870" spans="1:11">
      <c r="A870" s="19" t="s">
        <v>13</v>
      </c>
      <c r="B870" s="19"/>
      <c r="C870" s="19" t="s">
        <v>32</v>
      </c>
      <c r="D870" s="19"/>
      <c r="E870" s="32" t="s">
        <v>13</v>
      </c>
      <c r="F870" s="32" t="s">
        <v>13</v>
      </c>
      <c r="G870" s="32" t="s">
        <v>13</v>
      </c>
      <c r="H870" s="32" t="s">
        <v>13</v>
      </c>
      <c r="I870" s="32"/>
      <c r="J870" s="96"/>
      <c r="K870"/>
    </row>
    <row r="871" spans="1:11">
      <c r="A871" s="19" t="s">
        <v>454</v>
      </c>
      <c r="B871" s="19"/>
      <c r="C871" s="19" t="s">
        <v>32</v>
      </c>
      <c r="D871" s="19"/>
      <c r="E871" s="32">
        <v>0</v>
      </c>
      <c r="F871" s="32">
        <v>0</v>
      </c>
      <c r="G871" s="32">
        <v>0</v>
      </c>
      <c r="H871" s="32">
        <v>0</v>
      </c>
      <c r="I871" s="32">
        <v>0</v>
      </c>
      <c r="J871" s="96" t="s">
        <v>1045</v>
      </c>
      <c r="K871"/>
    </row>
    <row r="872" spans="1:11" s="3" customFormat="1" ht="15.75" thickBot="1">
      <c r="A872" s="41"/>
      <c r="B872" s="41"/>
      <c r="C872" s="41" t="s">
        <v>841</v>
      </c>
      <c r="D872" s="41"/>
      <c r="E872" s="167">
        <f>SUM(E871)</f>
        <v>0</v>
      </c>
      <c r="F872" s="167">
        <f t="shared" ref="F872:H872" si="165">SUM(F871)</f>
        <v>0</v>
      </c>
      <c r="G872" s="167">
        <f t="shared" si="165"/>
        <v>0</v>
      </c>
      <c r="H872" s="167">
        <f t="shared" si="165"/>
        <v>0</v>
      </c>
      <c r="I872" s="167">
        <f>SUM(I871)</f>
        <v>0</v>
      </c>
      <c r="J872" s="178"/>
    </row>
    <row r="873" spans="1:11" ht="15.75" thickTop="1">
      <c r="A873" s="19"/>
      <c r="B873" s="19"/>
      <c r="C873" s="19"/>
      <c r="D873" s="19"/>
      <c r="E873" s="20"/>
      <c r="F873" s="20"/>
      <c r="G873" s="20"/>
      <c r="H873" s="20"/>
      <c r="I873" s="20"/>
      <c r="J873" s="96"/>
      <c r="K873"/>
    </row>
    <row r="874" spans="1:11" ht="15.75" thickBot="1">
      <c r="A874" s="19"/>
      <c r="B874" s="19"/>
      <c r="C874" s="41" t="s">
        <v>855</v>
      </c>
      <c r="D874" s="19"/>
      <c r="E874" s="171">
        <f>E838+E842+E854+E858+E868+E872</f>
        <v>111305</v>
      </c>
      <c r="F874" s="171">
        <f>F838+F842+F854+F858+F868+F872</f>
        <v>0</v>
      </c>
      <c r="G874" s="171">
        <f>G838+G842+G854+G858+G868+G872</f>
        <v>99722.05</v>
      </c>
      <c r="H874" s="171">
        <f>H838+H842+H854+H858+H868+H872</f>
        <v>107639.92101537877</v>
      </c>
      <c r="I874" s="171">
        <f>I838+I842+I854+I858+I868+I872</f>
        <v>127260.25</v>
      </c>
      <c r="J874" s="96"/>
      <c r="K874"/>
    </row>
    <row r="875" spans="1:11" ht="15.75" thickTop="1">
      <c r="A875" s="19"/>
      <c r="B875" s="19"/>
      <c r="C875" s="19"/>
      <c r="D875" s="19"/>
      <c r="E875" s="20"/>
      <c r="F875" s="20"/>
      <c r="G875" s="20"/>
      <c r="H875" s="20"/>
      <c r="I875" s="20"/>
      <c r="J875" s="168"/>
      <c r="K875" s="19"/>
    </row>
    <row r="877" spans="1:11">
      <c r="A877" s="201" t="s">
        <v>743</v>
      </c>
      <c r="B877" s="201"/>
      <c r="C877" s="201"/>
      <c r="D877" s="201"/>
      <c r="E877" s="201"/>
      <c r="F877" s="201"/>
      <c r="G877" s="201"/>
      <c r="H877" s="201"/>
      <c r="I877" s="201"/>
      <c r="J877" s="201"/>
      <c r="K877"/>
    </row>
    <row r="878" spans="1:11">
      <c r="A878" s="192"/>
      <c r="B878" s="192"/>
      <c r="C878" s="192"/>
      <c r="D878" s="192"/>
      <c r="E878" s="192"/>
      <c r="F878" s="192"/>
      <c r="G878" s="192"/>
      <c r="H878" s="192"/>
      <c r="I878" s="192"/>
      <c r="J878" s="192"/>
      <c r="K878"/>
    </row>
    <row r="879" spans="1:11">
      <c r="A879" s="19"/>
      <c r="B879" s="19"/>
      <c r="C879" s="19" t="s">
        <v>746</v>
      </c>
      <c r="D879" s="19"/>
      <c r="E879" s="32">
        <v>0</v>
      </c>
      <c r="F879" s="32">
        <v>0</v>
      </c>
      <c r="G879" s="32">
        <v>0</v>
      </c>
      <c r="H879" s="32">
        <v>0</v>
      </c>
      <c r="I879" s="32">
        <v>0</v>
      </c>
      <c r="J879" s="95"/>
      <c r="K879"/>
    </row>
    <row r="880" spans="1:11">
      <c r="A880" s="19" t="s">
        <v>1113</v>
      </c>
      <c r="B880" s="19" t="s">
        <v>1054</v>
      </c>
      <c r="C880" s="19" t="s">
        <v>744</v>
      </c>
      <c r="D880" s="19"/>
      <c r="E880" s="32">
        <v>64601</v>
      </c>
      <c r="F880" s="32">
        <v>0</v>
      </c>
      <c r="G880" s="32">
        <v>64600.89</v>
      </c>
      <c r="H880" s="32">
        <v>64600.89</v>
      </c>
      <c r="I880" s="32">
        <v>64600.89</v>
      </c>
      <c r="J880" s="96"/>
      <c r="K880"/>
    </row>
    <row r="881" spans="1:11" s="3" customFormat="1" ht="15.75" thickBot="1">
      <c r="A881" s="41" t="s">
        <v>13</v>
      </c>
      <c r="B881" s="41"/>
      <c r="C881" s="41" t="s">
        <v>827</v>
      </c>
      <c r="D881" s="41"/>
      <c r="E881" s="167">
        <f>SUM(E879:E880)</f>
        <v>64601</v>
      </c>
      <c r="F881" s="167">
        <f t="shared" ref="F881:I881" si="166">SUM(F879:F880)</f>
        <v>0</v>
      </c>
      <c r="G881" s="167">
        <f t="shared" si="166"/>
        <v>64600.89</v>
      </c>
      <c r="H881" s="167">
        <f t="shared" si="166"/>
        <v>64600.89</v>
      </c>
      <c r="I881" s="167">
        <f t="shared" si="166"/>
        <v>64600.89</v>
      </c>
      <c r="J881" s="164"/>
    </row>
    <row r="882" spans="1:11" ht="15.75" thickTop="1">
      <c r="A882" s="19"/>
      <c r="B882" s="19"/>
      <c r="C882" s="19"/>
      <c r="D882" s="19"/>
      <c r="E882" s="32"/>
      <c r="F882" s="32"/>
      <c r="G882" s="32"/>
      <c r="H882" s="32"/>
      <c r="I882" s="32"/>
      <c r="J882" s="95"/>
      <c r="K882"/>
    </row>
    <row r="883" spans="1:11" ht="15.75" thickBot="1">
      <c r="A883" s="19"/>
      <c r="B883" s="19"/>
      <c r="C883" s="41" t="s">
        <v>857</v>
      </c>
      <c r="D883" s="19"/>
      <c r="E883" s="171">
        <f>E881</f>
        <v>64601</v>
      </c>
      <c r="F883" s="171">
        <f t="shared" ref="F883:I883" si="167">F881</f>
        <v>0</v>
      </c>
      <c r="G883" s="171">
        <f t="shared" si="167"/>
        <v>64600.89</v>
      </c>
      <c r="H883" s="171">
        <f t="shared" si="167"/>
        <v>64600.89</v>
      </c>
      <c r="I883" s="171">
        <f t="shared" si="167"/>
        <v>64600.89</v>
      </c>
      <c r="J883" s="96"/>
      <c r="K883"/>
    </row>
    <row r="884" spans="1:11" ht="15.75" thickTop="1"/>
    <row r="886" spans="1:11" s="3" customFormat="1" ht="15.75" thickBot="1">
      <c r="A886" s="202" t="s">
        <v>859</v>
      </c>
      <c r="B886" s="202"/>
      <c r="C886" s="202"/>
      <c r="D886" s="41"/>
      <c r="E886" s="171">
        <f>E149+E167+E193+E201+E274+E294+E362+E426+E481+E543+E609+E656+E716+E760+E785+E821+E874+E883</f>
        <v>2660727</v>
      </c>
      <c r="F886" s="171">
        <f>F149+F167+F193+F201+F274+F294+F362+F426+F481+F543+F609+F656+F716+F760+F785+F821+F874+F883</f>
        <v>0</v>
      </c>
      <c r="G886" s="171">
        <f>G149+G167+G193+G201+G274+G294+G362+G426+G481+G543+G609+G656+G716+G760+G785+G821+G874+G883</f>
        <v>2591210.29</v>
      </c>
      <c r="H886" s="171">
        <f>H149+H167+H193+H201+H274+H294+H362+H426+H481+H543+H609+H656+H716+H760+H785+H821+H874+H883</f>
        <v>2791142.1190770455</v>
      </c>
      <c r="I886" s="171">
        <f>I149+I167+I193+I201+I274+I294+I362+I426+I481+I543+I609+I656+I716+I760+I785+I821+I874+I883</f>
        <v>2695582.085</v>
      </c>
      <c r="J886" s="164"/>
    </row>
    <row r="887" spans="1:11" ht="15.75" thickTop="1"/>
  </sheetData>
  <mergeCells count="34">
    <mergeCell ref="A1:J1"/>
    <mergeCell ref="A152:J152"/>
    <mergeCell ref="A170:J170"/>
    <mergeCell ref="A6:J6"/>
    <mergeCell ref="A135:J135"/>
    <mergeCell ref="A8:J8"/>
    <mergeCell ref="A25:J25"/>
    <mergeCell ref="A30:J30"/>
    <mergeCell ref="A45:J45"/>
    <mergeCell ref="A76:J76"/>
    <mergeCell ref="A82:J82"/>
    <mergeCell ref="A90:J90"/>
    <mergeCell ref="A886:C886"/>
    <mergeCell ref="A877:J877"/>
    <mergeCell ref="A196:J196"/>
    <mergeCell ref="A204:J204"/>
    <mergeCell ref="A277:J277"/>
    <mergeCell ref="A297:J297"/>
    <mergeCell ref="A365:J365"/>
    <mergeCell ref="A719:J719"/>
    <mergeCell ref="A763:J763"/>
    <mergeCell ref="A788:J788"/>
    <mergeCell ref="A824:J824"/>
    <mergeCell ref="A429:J429"/>
    <mergeCell ref="A659:J659"/>
    <mergeCell ref="A612:J612"/>
    <mergeCell ref="A546:J546"/>
    <mergeCell ref="A484:J484"/>
    <mergeCell ref="A102:J102"/>
    <mergeCell ref="A109:J109"/>
    <mergeCell ref="A116:J116"/>
    <mergeCell ref="A134:C134"/>
    <mergeCell ref="A125:J125"/>
    <mergeCell ref="A137:J137"/>
  </mergeCells>
  <printOptions horizontalCentered="1"/>
  <pageMargins left="0" right="0" top="0.75" bottom="0.75" header="0.3" footer="0.3"/>
  <pageSetup scale="56" fitToHeight="0" orientation="landscape" r:id="rId1"/>
  <headerFooter>
    <oddFooter>&amp;L&amp;D&amp;CWorksheet
Page &amp;P&amp;R&amp;T</oddFooter>
  </headerFooter>
  <rowBreaks count="24" manualBreakCount="24">
    <brk id="134" max="16383" man="1"/>
    <brk id="150" max="16383" man="1"/>
    <brk id="168" max="16383" man="1"/>
    <brk id="194" max="16383" man="1"/>
    <brk id="202" max="16383" man="1"/>
    <brk id="249" max="16383" man="1"/>
    <brk id="275" max="16383" man="1"/>
    <brk id="295" max="16383" man="1"/>
    <brk id="344" max="16383" man="1"/>
    <brk id="363" max="16383" man="1"/>
    <brk id="415" max="16383" man="1"/>
    <brk id="427" max="16383" man="1"/>
    <brk id="482" max="16383" man="1"/>
    <brk id="532" max="16383" man="1"/>
    <brk id="544" max="16383" man="1"/>
    <brk id="595" max="16383" man="1"/>
    <brk id="610" max="16383" man="1"/>
    <brk id="657" max="16383" man="1"/>
    <brk id="707" max="16383" man="1"/>
    <brk id="717" max="16383" man="1"/>
    <brk id="761" max="16383" man="1"/>
    <brk id="786" max="16383" man="1"/>
    <brk id="822" max="16383" man="1"/>
    <brk id="8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35"/>
  <sheetViews>
    <sheetView tabSelected="1" workbookViewId="0">
      <selection activeCell="H21" sqref="H21"/>
    </sheetView>
  </sheetViews>
  <sheetFormatPr defaultRowHeight="15"/>
  <cols>
    <col min="1" max="1" width="35.140625" style="119" customWidth="1"/>
    <col min="2" max="3" width="14.28515625" style="124" customWidth="1"/>
    <col min="4" max="4" width="17.42578125" style="124" bestFit="1" customWidth="1"/>
    <col min="5" max="5" width="14.28515625" style="124" customWidth="1"/>
    <col min="6" max="6" width="13.28515625" style="124" customWidth="1"/>
    <col min="7" max="7" width="14.28515625" style="124" customWidth="1"/>
    <col min="8" max="8" width="12.5703125" style="119" bestFit="1" customWidth="1"/>
    <col min="9" max="9" width="9.140625" style="119"/>
  </cols>
  <sheetData>
    <row r="1" spans="1:9">
      <c r="A1" s="204" t="s">
        <v>41</v>
      </c>
      <c r="B1" s="204"/>
      <c r="C1" s="204"/>
      <c r="D1" s="204"/>
      <c r="E1" s="204"/>
      <c r="F1" s="204"/>
      <c r="G1" s="204"/>
    </row>
    <row r="2" spans="1:9">
      <c r="A2" s="204" t="s">
        <v>651</v>
      </c>
      <c r="B2" s="204"/>
      <c r="C2" s="204"/>
      <c r="D2" s="204"/>
      <c r="E2" s="204"/>
      <c r="F2" s="204"/>
      <c r="G2" s="204"/>
    </row>
    <row r="3" spans="1:9" s="25" customFormat="1" ht="12.75">
      <c r="A3" s="110" t="s">
        <v>13</v>
      </c>
      <c r="B3" s="111" t="s">
        <v>13</v>
      </c>
      <c r="C3" s="111" t="s">
        <v>13</v>
      </c>
      <c r="D3" s="111"/>
      <c r="E3" s="111" t="s">
        <v>13</v>
      </c>
      <c r="F3" s="111" t="s">
        <v>13</v>
      </c>
      <c r="G3" s="112"/>
      <c r="H3" s="119"/>
      <c r="I3" s="119"/>
    </row>
    <row r="4" spans="1:9">
      <c r="A4" s="110"/>
      <c r="B4" s="113">
        <v>2019</v>
      </c>
      <c r="C4" s="113">
        <v>2020</v>
      </c>
      <c r="D4" s="113">
        <v>2020</v>
      </c>
      <c r="E4" s="114">
        <v>2020</v>
      </c>
      <c r="F4" s="114">
        <v>2020</v>
      </c>
      <c r="G4" s="115" t="s">
        <v>958</v>
      </c>
    </row>
    <row r="5" spans="1:9">
      <c r="A5" s="116" t="s">
        <v>749</v>
      </c>
      <c r="B5" s="117" t="s">
        <v>716</v>
      </c>
      <c r="C5" s="117" t="s">
        <v>747</v>
      </c>
      <c r="D5" s="117" t="s">
        <v>748</v>
      </c>
      <c r="E5" s="117" t="s">
        <v>1048</v>
      </c>
      <c r="F5" s="117" t="s">
        <v>789</v>
      </c>
      <c r="G5" s="118" t="s">
        <v>718</v>
      </c>
    </row>
    <row r="6" spans="1:9">
      <c r="A6" s="110" t="s">
        <v>750</v>
      </c>
      <c r="B6" s="111"/>
      <c r="C6" s="111"/>
      <c r="D6" s="111"/>
      <c r="E6" s="111"/>
      <c r="F6" s="111"/>
      <c r="G6" s="112"/>
    </row>
    <row r="7" spans="1:9">
      <c r="A7" s="110"/>
      <c r="B7" s="111"/>
      <c r="C7" s="111"/>
      <c r="D7" s="111"/>
      <c r="E7" s="111"/>
      <c r="F7" s="111"/>
      <c r="G7" s="112"/>
    </row>
    <row r="8" spans="1:9">
      <c r="A8" s="125" t="s">
        <v>652</v>
      </c>
      <c r="B8" s="120">
        <v>38800</v>
      </c>
      <c r="C8" s="120">
        <v>0</v>
      </c>
      <c r="D8" s="120">
        <v>0</v>
      </c>
      <c r="E8" s="120">
        <v>200</v>
      </c>
      <c r="F8" s="120">
        <v>200</v>
      </c>
      <c r="G8" s="120">
        <v>0</v>
      </c>
    </row>
    <row r="9" spans="1:9">
      <c r="A9" s="125" t="s">
        <v>653</v>
      </c>
      <c r="B9" s="120">
        <v>0</v>
      </c>
      <c r="C9" s="120">
        <v>0</v>
      </c>
      <c r="D9" s="120">
        <v>0</v>
      </c>
      <c r="E9" s="120">
        <v>0</v>
      </c>
      <c r="F9" s="120">
        <v>0</v>
      </c>
      <c r="G9" s="124">
        <v>0</v>
      </c>
    </row>
    <row r="10" spans="1:9">
      <c r="A10" s="125" t="s">
        <v>654</v>
      </c>
      <c r="B10" s="120">
        <v>611907</v>
      </c>
      <c r="C10" s="120">
        <v>0</v>
      </c>
      <c r="D10" s="120">
        <v>0</v>
      </c>
      <c r="E10" s="120">
        <v>0</v>
      </c>
      <c r="F10" s="120">
        <v>0</v>
      </c>
      <c r="G10" s="120">
        <v>0</v>
      </c>
    </row>
    <row r="11" spans="1:9">
      <c r="A11" s="125" t="s">
        <v>919</v>
      </c>
      <c r="B11" s="120">
        <v>0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</row>
    <row r="12" spans="1:9" ht="15.75" thickBot="1">
      <c r="A12" s="110" t="s">
        <v>918</v>
      </c>
      <c r="B12" s="121">
        <f>SUM(B8:B11)</f>
        <v>650707</v>
      </c>
      <c r="C12" s="121">
        <f>SUM(C8:C11)</f>
        <v>0</v>
      </c>
      <c r="D12" s="121">
        <f>SUM(D8:D11)</f>
        <v>0</v>
      </c>
      <c r="E12" s="121">
        <f>SUM(E8:E11)</f>
        <v>200</v>
      </c>
      <c r="F12" s="121">
        <f t="shared" ref="F12:G12" si="0">SUM(F8:F11)</f>
        <v>200</v>
      </c>
      <c r="G12" s="121">
        <f t="shared" si="0"/>
        <v>0</v>
      </c>
    </row>
    <row r="13" spans="1:9" ht="15.75" thickTop="1">
      <c r="B13" s="120"/>
      <c r="C13" s="120"/>
      <c r="D13" s="120"/>
      <c r="E13" s="120"/>
      <c r="F13" s="120"/>
      <c r="G13" s="119"/>
    </row>
    <row r="14" spans="1:9" ht="15.75" thickBot="1">
      <c r="A14" s="110" t="s">
        <v>4</v>
      </c>
      <c r="B14" s="121">
        <f t="shared" ref="B14:G14" si="1">B12</f>
        <v>650707</v>
      </c>
      <c r="C14" s="121">
        <f t="shared" si="1"/>
        <v>0</v>
      </c>
      <c r="D14" s="121">
        <f t="shared" si="1"/>
        <v>0</v>
      </c>
      <c r="E14" s="121">
        <f t="shared" si="1"/>
        <v>200</v>
      </c>
      <c r="F14" s="121">
        <f t="shared" si="1"/>
        <v>200</v>
      </c>
      <c r="G14" s="121">
        <f t="shared" si="1"/>
        <v>0</v>
      </c>
    </row>
    <row r="15" spans="1:9" ht="15.75" thickTop="1">
      <c r="B15" s="123" t="s">
        <v>13</v>
      </c>
      <c r="C15" s="123"/>
      <c r="D15" s="123" t="s">
        <v>13</v>
      </c>
      <c r="E15" s="123" t="s">
        <v>13</v>
      </c>
      <c r="F15" s="123" t="s">
        <v>13</v>
      </c>
      <c r="G15" s="119"/>
    </row>
    <row r="16" spans="1:9">
      <c r="B16" s="123"/>
      <c r="C16" s="123"/>
      <c r="D16" s="123"/>
      <c r="E16" s="123"/>
      <c r="F16" s="123"/>
      <c r="G16" s="119"/>
    </row>
    <row r="17" spans="1:11">
      <c r="A17" s="110" t="s">
        <v>782</v>
      </c>
      <c r="B17" s="123"/>
      <c r="C17" s="123"/>
      <c r="D17" s="123"/>
      <c r="E17" s="123"/>
      <c r="F17" s="123"/>
      <c r="G17" s="119"/>
    </row>
    <row r="18" spans="1:11">
      <c r="A18" s="110"/>
      <c r="B18" s="123"/>
      <c r="C18" s="123"/>
      <c r="D18" s="123"/>
      <c r="E18" s="123"/>
      <c r="F18" s="123"/>
      <c r="G18" s="119"/>
    </row>
    <row r="19" spans="1:11">
      <c r="A19" s="125" t="s">
        <v>655</v>
      </c>
      <c r="B19" s="120">
        <v>1021266.19</v>
      </c>
      <c r="C19" s="120">
        <v>0</v>
      </c>
      <c r="D19" s="120">
        <v>0</v>
      </c>
      <c r="E19" s="120">
        <v>21313.19</v>
      </c>
      <c r="F19" s="126">
        <v>21313.19</v>
      </c>
      <c r="G19" s="120">
        <v>0</v>
      </c>
    </row>
    <row r="20" spans="1:11">
      <c r="A20" s="125" t="s">
        <v>656</v>
      </c>
      <c r="B20" s="120">
        <v>534.97</v>
      </c>
      <c r="C20" s="120">
        <v>0</v>
      </c>
      <c r="D20" s="120">
        <v>0</v>
      </c>
      <c r="E20" s="120">
        <v>0</v>
      </c>
      <c r="F20" s="120">
        <v>0</v>
      </c>
      <c r="G20" s="120">
        <v>0</v>
      </c>
    </row>
    <row r="21" spans="1:11" ht="15.75" thickBot="1">
      <c r="A21" s="110" t="s">
        <v>5</v>
      </c>
      <c r="B21" s="121">
        <f t="shared" ref="B21:F21" si="2">SUM(B19:B20)</f>
        <v>1021801.1599999999</v>
      </c>
      <c r="C21" s="121">
        <f t="shared" si="2"/>
        <v>0</v>
      </c>
      <c r="D21" s="121">
        <f t="shared" si="2"/>
        <v>0</v>
      </c>
      <c r="E21" s="121">
        <f t="shared" si="2"/>
        <v>21313.19</v>
      </c>
      <c r="F21" s="121">
        <f t="shared" si="2"/>
        <v>21313.19</v>
      </c>
      <c r="G21" s="122">
        <f>SUM(G19:G20)</f>
        <v>0</v>
      </c>
    </row>
    <row r="22" spans="1:11" ht="15.75" thickTop="1">
      <c r="B22" s="120"/>
      <c r="C22" s="120"/>
      <c r="D22" s="120"/>
      <c r="E22" s="120"/>
      <c r="F22" s="120"/>
      <c r="G22" s="119"/>
    </row>
    <row r="23" spans="1:11">
      <c r="G23" s="119"/>
    </row>
    <row r="24" spans="1:11" ht="39.75" thickBot="1">
      <c r="A24" s="68" t="s">
        <v>752</v>
      </c>
      <c r="B24" s="127">
        <f>B14-B21</f>
        <v>-371094.15999999992</v>
      </c>
      <c r="C24" s="127">
        <f t="shared" ref="C24:G24" si="3">C14-C21</f>
        <v>0</v>
      </c>
      <c r="D24" s="127">
        <f t="shared" si="3"/>
        <v>0</v>
      </c>
      <c r="E24" s="127">
        <f t="shared" si="3"/>
        <v>-21113.19</v>
      </c>
      <c r="F24" s="127">
        <f t="shared" si="3"/>
        <v>-21113.19</v>
      </c>
      <c r="G24" s="127">
        <f t="shared" si="3"/>
        <v>0</v>
      </c>
    </row>
    <row r="25" spans="1:11" ht="15.75" thickTop="1">
      <c r="A25" s="21"/>
      <c r="B25" s="51"/>
      <c r="C25" s="58"/>
      <c r="D25" s="58"/>
      <c r="E25" s="58"/>
      <c r="F25" s="58"/>
      <c r="G25" s="44"/>
      <c r="H25"/>
      <c r="I25"/>
    </row>
    <row r="26" spans="1:11">
      <c r="A26" s="18" t="s">
        <v>753</v>
      </c>
      <c r="B26" s="57"/>
      <c r="C26" s="58"/>
      <c r="D26" s="58"/>
      <c r="E26" s="58"/>
      <c r="F26" s="58"/>
      <c r="G26" s="44"/>
      <c r="H26"/>
      <c r="I26"/>
    </row>
    <row r="27" spans="1:11">
      <c r="A27" s="70" t="s">
        <v>1116</v>
      </c>
      <c r="B27" s="52">
        <v>556224.89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/>
      <c r="I27"/>
    </row>
    <row r="28" spans="1:11" s="3" customFormat="1" ht="15.75" thickBot="1">
      <c r="A28" s="18" t="s">
        <v>754</v>
      </c>
      <c r="B28" s="54">
        <f t="shared" ref="B28:G28" si="4">SUM(B27:B27)</f>
        <v>556224.89</v>
      </c>
      <c r="C28" s="54">
        <f t="shared" si="4"/>
        <v>0</v>
      </c>
      <c r="D28" s="54">
        <f t="shared" si="4"/>
        <v>0</v>
      </c>
      <c r="E28" s="54">
        <f t="shared" si="4"/>
        <v>0</v>
      </c>
      <c r="F28" s="54">
        <f t="shared" si="4"/>
        <v>0</v>
      </c>
      <c r="G28" s="54">
        <f t="shared" si="4"/>
        <v>0</v>
      </c>
    </row>
    <row r="29" spans="1:11" ht="15.75" thickTop="1">
      <c r="A29" s="21"/>
      <c r="B29" s="51"/>
      <c r="C29" s="58"/>
      <c r="D29" s="58"/>
      <c r="E29" s="58"/>
      <c r="F29" s="58"/>
      <c r="G29" s="44"/>
      <c r="H29"/>
      <c r="I29"/>
    </row>
    <row r="30" spans="1:11">
      <c r="A30" s="70" t="s">
        <v>757</v>
      </c>
      <c r="B30" s="52">
        <v>-149347.79999999999</v>
      </c>
      <c r="C30" s="52">
        <f>B31</f>
        <v>35782.930000000109</v>
      </c>
      <c r="D30" s="52">
        <v>0</v>
      </c>
      <c r="E30" s="52">
        <f>B31</f>
        <v>35782.930000000109</v>
      </c>
      <c r="F30" s="52">
        <f>B31</f>
        <v>35782.930000000109</v>
      </c>
      <c r="G30" s="52">
        <f>F31</f>
        <v>14669.740000000111</v>
      </c>
      <c r="H30"/>
      <c r="I30"/>
    </row>
    <row r="31" spans="1:11" ht="15.75" thickBot="1">
      <c r="A31" s="18" t="s">
        <v>758</v>
      </c>
      <c r="B31" s="54">
        <f>B24+B28+B30</f>
        <v>35782.930000000109</v>
      </c>
      <c r="C31" s="54">
        <f>C24+C30</f>
        <v>35782.930000000109</v>
      </c>
      <c r="D31" s="54">
        <f>D24+D30</f>
        <v>0</v>
      </c>
      <c r="E31" s="54">
        <f>E24+E30</f>
        <v>14669.740000000111</v>
      </c>
      <c r="F31" s="54">
        <f>F24+F30</f>
        <v>14669.740000000111</v>
      </c>
      <c r="G31" s="54">
        <f>G24+G30</f>
        <v>14669.740000000111</v>
      </c>
      <c r="H31"/>
      <c r="I31"/>
      <c r="K31" s="6"/>
    </row>
    <row r="32" spans="1:11" ht="15.75" thickTop="1">
      <c r="G32" s="119"/>
    </row>
    <row r="33" spans="1:7">
      <c r="A33" s="119" t="s">
        <v>13</v>
      </c>
      <c r="G33" s="119"/>
    </row>
    <row r="34" spans="1:7">
      <c r="G34" s="119"/>
    </row>
    <row r="35" spans="1:7">
      <c r="G35" s="119"/>
    </row>
  </sheetData>
  <mergeCells count="2">
    <mergeCell ref="A1:G1"/>
    <mergeCell ref="A2:G2"/>
  </mergeCells>
  <pageMargins left="0.7" right="0.7" top="0.75" bottom="0.75" header="0.3" footer="0.3"/>
  <pageSetup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1"/>
  <sheetViews>
    <sheetView workbookViewId="0">
      <selection activeCell="C11" sqref="C11"/>
    </sheetView>
  </sheetViews>
  <sheetFormatPr defaultRowHeight="15"/>
  <cols>
    <col min="1" max="1" width="40.7109375" style="21" customWidth="1"/>
    <col min="2" max="7" width="15.7109375" style="81" customWidth="1"/>
  </cols>
  <sheetData>
    <row r="1" spans="1:7">
      <c r="A1" s="200" t="s">
        <v>41</v>
      </c>
      <c r="B1" s="200"/>
      <c r="C1" s="200"/>
      <c r="D1" s="200"/>
      <c r="E1" s="200"/>
      <c r="F1" s="200"/>
      <c r="G1" s="200"/>
    </row>
    <row r="2" spans="1:7">
      <c r="A2" s="200" t="s">
        <v>455</v>
      </c>
      <c r="B2" s="200"/>
      <c r="C2" s="200"/>
      <c r="D2" s="200"/>
      <c r="E2" s="200"/>
      <c r="F2" s="200"/>
      <c r="G2" s="200"/>
    </row>
    <row r="3" spans="1:7" ht="7.5" customHeight="1">
      <c r="A3" s="18" t="s">
        <v>13</v>
      </c>
      <c r="B3" s="76" t="s">
        <v>13</v>
      </c>
      <c r="C3" s="76" t="s">
        <v>13</v>
      </c>
      <c r="D3" s="76"/>
      <c r="E3" s="76" t="s">
        <v>13</v>
      </c>
      <c r="F3" s="76" t="s">
        <v>13</v>
      </c>
      <c r="G3" s="76" t="s">
        <v>13</v>
      </c>
    </row>
    <row r="4" spans="1:7">
      <c r="A4" s="18"/>
      <c r="B4" s="46">
        <v>2019</v>
      </c>
      <c r="C4" s="46">
        <v>2020</v>
      </c>
      <c r="D4" s="46">
        <v>2020</v>
      </c>
      <c r="E4" s="39">
        <v>2020</v>
      </c>
      <c r="F4" s="39">
        <v>2020</v>
      </c>
      <c r="G4" s="47" t="s">
        <v>958</v>
      </c>
    </row>
    <row r="5" spans="1:7">
      <c r="A5" s="48" t="s">
        <v>749</v>
      </c>
      <c r="B5" s="49" t="s">
        <v>716</v>
      </c>
      <c r="C5" s="49" t="s">
        <v>747</v>
      </c>
      <c r="D5" s="49" t="s">
        <v>748</v>
      </c>
      <c r="E5" s="49" t="s">
        <v>1048</v>
      </c>
      <c r="F5" s="49" t="s">
        <v>789</v>
      </c>
      <c r="G5" s="50" t="s">
        <v>718</v>
      </c>
    </row>
    <row r="6" spans="1:7">
      <c r="A6" s="18" t="s">
        <v>750</v>
      </c>
      <c r="B6" s="76"/>
      <c r="C6" s="76"/>
      <c r="D6" s="76"/>
      <c r="E6" s="76"/>
      <c r="F6" s="76"/>
      <c r="G6" s="76"/>
    </row>
    <row r="7" spans="1:7">
      <c r="A7" s="70" t="s">
        <v>456</v>
      </c>
      <c r="B7" s="77">
        <v>1135935</v>
      </c>
      <c r="C7" s="77">
        <f>'Worksheet - Water Fund (020)'!E12</f>
        <v>1100000</v>
      </c>
      <c r="D7" s="77">
        <f>'Worksheet - Water Fund (020)'!F12</f>
        <v>0</v>
      </c>
      <c r="E7" s="77">
        <f>'Worksheet - Water Fund (020)'!G12</f>
        <v>1093505.8500000001</v>
      </c>
      <c r="F7" s="77">
        <f>'Worksheet - Water Fund (020)'!H12</f>
        <v>1192915.4727272729</v>
      </c>
      <c r="G7" s="77">
        <f>'Worksheet - Water Fund (020)'!I12</f>
        <v>1210500</v>
      </c>
    </row>
    <row r="8" spans="1:7">
      <c r="A8" s="70" t="s">
        <v>457</v>
      </c>
      <c r="B8" s="77">
        <v>16421.89</v>
      </c>
      <c r="C8" s="77">
        <f>'Worksheet - Water Fund (020)'!E17</f>
        <v>17100</v>
      </c>
      <c r="D8" s="77">
        <f>'Worksheet - Water Fund (020)'!F17</f>
        <v>0</v>
      </c>
      <c r="E8" s="77">
        <f>'Worksheet - Water Fund (020)'!G17</f>
        <v>16985.89</v>
      </c>
      <c r="F8" s="77">
        <f>'Worksheet - Water Fund (020)'!H17</f>
        <v>16985.89</v>
      </c>
      <c r="G8" s="77">
        <f>'Worksheet - Water Fund (020)'!I17</f>
        <v>17100</v>
      </c>
    </row>
    <row r="9" spans="1:7">
      <c r="A9" s="70" t="s">
        <v>458</v>
      </c>
      <c r="B9" s="77">
        <v>41186.949999999997</v>
      </c>
      <c r="C9" s="77">
        <f>'Worksheet - Water Fund (020)'!E25</f>
        <v>35010</v>
      </c>
      <c r="D9" s="77">
        <f>'Worksheet - Water Fund (020)'!F25</f>
        <v>0</v>
      </c>
      <c r="E9" s="77">
        <f>'Worksheet - Water Fund (020)'!G25</f>
        <v>29341.449999999997</v>
      </c>
      <c r="F9" s="77">
        <f>'Worksheet - Water Fund (020)'!H25</f>
        <v>32008.854545454542</v>
      </c>
      <c r="G9" s="77">
        <f>'Worksheet - Water Fund (020)'!I25</f>
        <v>35010</v>
      </c>
    </row>
    <row r="10" spans="1:7">
      <c r="A10" s="70" t="s">
        <v>459</v>
      </c>
      <c r="B10" s="77">
        <v>10404.89</v>
      </c>
      <c r="C10" s="77">
        <f>'Worksheet - Water Fund (020)'!E29</f>
        <v>12000</v>
      </c>
      <c r="D10" s="77">
        <f>'Worksheet - Water Fund (020)'!F29</f>
        <v>0</v>
      </c>
      <c r="E10" s="77">
        <f>'Worksheet - Water Fund (020)'!G29</f>
        <v>9152.85</v>
      </c>
      <c r="F10" s="77">
        <f>'Worksheet - Water Fund (020)'!H29</f>
        <v>9984.9272727272728</v>
      </c>
      <c r="G10" s="77">
        <f>'Worksheet - Water Fund (020)'!I29</f>
        <v>12000</v>
      </c>
    </row>
    <row r="11" spans="1:7" ht="15.75" thickBot="1">
      <c r="A11" s="18" t="s">
        <v>4</v>
      </c>
      <c r="B11" s="78">
        <f>SUM(B7:B10)</f>
        <v>1203948.7299999997</v>
      </c>
      <c r="C11" s="78">
        <f t="shared" ref="C11:G11" si="0">SUM(C7:C10)</f>
        <v>1164110</v>
      </c>
      <c r="D11" s="78">
        <f t="shared" si="0"/>
        <v>0</v>
      </c>
      <c r="E11" s="78">
        <f t="shared" si="0"/>
        <v>1148986.04</v>
      </c>
      <c r="F11" s="78">
        <f t="shared" si="0"/>
        <v>1251895.1445454545</v>
      </c>
      <c r="G11" s="78">
        <f t="shared" si="0"/>
        <v>1274610</v>
      </c>
    </row>
    <row r="12" spans="1:7" s="25" customFormat="1" ht="13.5" thickTop="1">
      <c r="A12" s="21"/>
      <c r="B12" s="77"/>
      <c r="C12" s="77"/>
      <c r="D12" s="77"/>
      <c r="E12" s="77"/>
      <c r="F12" s="77"/>
      <c r="G12" s="77"/>
    </row>
    <row r="13" spans="1:7" s="25" customFormat="1" ht="12.75">
      <c r="A13" s="21"/>
      <c r="B13" s="79" t="s">
        <v>13</v>
      </c>
      <c r="C13" s="79" t="s">
        <v>13</v>
      </c>
      <c r="D13" s="79"/>
      <c r="E13" s="79" t="s">
        <v>13</v>
      </c>
      <c r="F13" s="79" t="s">
        <v>13</v>
      </c>
      <c r="G13" s="79" t="s">
        <v>13</v>
      </c>
    </row>
    <row r="14" spans="1:7">
      <c r="A14" s="18" t="s">
        <v>782</v>
      </c>
      <c r="B14" s="79"/>
      <c r="C14" s="79"/>
      <c r="D14" s="79"/>
      <c r="E14" s="79"/>
      <c r="F14" s="79"/>
      <c r="G14" s="79"/>
    </row>
    <row r="15" spans="1:7">
      <c r="A15" s="70" t="s">
        <v>30</v>
      </c>
      <c r="B15" s="80">
        <f>93804.62+1938.46+69292.02+2003.5+11314.31+18893.17+31660.88</f>
        <v>228906.96000000002</v>
      </c>
      <c r="C15" s="80">
        <f>'Worksheet - Water Fund (020)'!E50</f>
        <v>245467</v>
      </c>
      <c r="D15" s="80">
        <f>'Worksheet - Water Fund (020)'!F50</f>
        <v>0</v>
      </c>
      <c r="E15" s="80">
        <f>'Worksheet - Water Fund (020)'!G50</f>
        <v>258741.72999999998</v>
      </c>
      <c r="F15" s="80">
        <f>'Worksheet - Water Fund (020)'!H50</f>
        <v>281248.61038064398</v>
      </c>
      <c r="G15" s="80">
        <f>'Worksheet - Water Fund (020)'!I50</f>
        <v>299991.25</v>
      </c>
    </row>
    <row r="16" spans="1:7">
      <c r="A16" s="70" t="s">
        <v>207</v>
      </c>
      <c r="B16" s="80">
        <f>2164.36+400</f>
        <v>2564.36</v>
      </c>
      <c r="C16" s="80">
        <f>'Worksheet - Water Fund (020)'!E54</f>
        <v>2000</v>
      </c>
      <c r="D16" s="80">
        <f>'Worksheet - Water Fund (020)'!F54</f>
        <v>0</v>
      </c>
      <c r="E16" s="80">
        <f>'Worksheet - Water Fund (020)'!G54</f>
        <v>1008.97</v>
      </c>
      <c r="F16" s="80">
        <f>'Worksheet - Water Fund (020)'!H54</f>
        <v>1100.6945454545455</v>
      </c>
      <c r="G16" s="80">
        <f>'Worksheet - Water Fund (020)'!I54</f>
        <v>2000</v>
      </c>
    </row>
    <row r="17" spans="1:7">
      <c r="A17" s="70" t="s">
        <v>210</v>
      </c>
      <c r="B17" s="80">
        <f>0+9333.71+0+13507.65+90730.32+36300.6+1368.58+25+1473.82+5312.23+4500+1000+6320.12+30830.02+53552.19</f>
        <v>254254.24</v>
      </c>
      <c r="C17" s="80">
        <f>'Worksheet - Water Fund (020)'!E73</f>
        <v>267400</v>
      </c>
      <c r="D17" s="80">
        <f>'Worksheet - Water Fund (020)'!F73</f>
        <v>0</v>
      </c>
      <c r="E17" s="80">
        <f>'Worksheet - Water Fund (020)'!G73</f>
        <v>243285.68000000002</v>
      </c>
      <c r="F17" s="80">
        <f>'Worksheet - Water Fund (020)'!H73</f>
        <v>266347.48363636364</v>
      </c>
      <c r="G17" s="80">
        <f>'Worksheet - Water Fund (020)'!I73</f>
        <v>236830</v>
      </c>
    </row>
    <row r="18" spans="1:7">
      <c r="A18" s="70" t="s">
        <v>212</v>
      </c>
      <c r="B18" s="80">
        <f>1102.04-11219.08+2828.13+2815.66+199.99+8988.69+2240.2+15150.31</f>
        <v>22105.94</v>
      </c>
      <c r="C18" s="80">
        <f>'Worksheet - Water Fund (020)'!E83</f>
        <v>42000</v>
      </c>
      <c r="D18" s="80">
        <f>'Worksheet - Water Fund (020)'!F83</f>
        <v>0</v>
      </c>
      <c r="E18" s="80">
        <f>'Worksheet - Water Fund (020)'!G83</f>
        <v>21412.17</v>
      </c>
      <c r="F18" s="80">
        <f>'Worksheet - Water Fund (020)'!H83</f>
        <v>23358.730909090908</v>
      </c>
      <c r="G18" s="80">
        <f>'Worksheet - Water Fund (020)'!I83</f>
        <v>26000</v>
      </c>
    </row>
    <row r="19" spans="1:7">
      <c r="A19" s="70" t="s">
        <v>336</v>
      </c>
      <c r="B19" s="80">
        <v>32.5</v>
      </c>
      <c r="C19" s="80">
        <f>'Worksheet - Water Fund (020)'!E88</f>
        <v>3000</v>
      </c>
      <c r="D19" s="80">
        <f>'Worksheet - Water Fund (020)'!F88</f>
        <v>0</v>
      </c>
      <c r="E19" s="80">
        <f>'Worksheet - Water Fund (020)'!G88</f>
        <v>7397.67</v>
      </c>
      <c r="F19" s="80">
        <f>'Worksheet - Water Fund (020)'!H88</f>
        <v>8070.1854545454553</v>
      </c>
      <c r="G19" s="80">
        <f>'Worksheet - Water Fund (020)'!I88</f>
        <v>7000</v>
      </c>
    </row>
    <row r="20" spans="1:7">
      <c r="A20" s="70" t="s">
        <v>223</v>
      </c>
      <c r="B20" s="80">
        <f>0+7993.03+21897.94+728.11+14742.04+935.06+11938.13+33064.17+258.1</f>
        <v>91556.579999999987</v>
      </c>
      <c r="C20" s="80">
        <f>'Worksheet - Water Fund (020)'!E98</f>
        <v>65350</v>
      </c>
      <c r="D20" s="80">
        <f>'Worksheet - Water Fund (020)'!F98</f>
        <v>0</v>
      </c>
      <c r="E20" s="80">
        <f>'Worksheet - Water Fund (020)'!G98</f>
        <v>72073.91</v>
      </c>
      <c r="F20" s="80">
        <f>'Worksheet - Water Fund (020)'!H98</f>
        <v>78626.083636363648</v>
      </c>
      <c r="G20" s="80">
        <f>'Worksheet - Water Fund (020)'!I98</f>
        <v>140250</v>
      </c>
    </row>
    <row r="21" spans="1:7">
      <c r="A21" s="70" t="s">
        <v>380</v>
      </c>
      <c r="B21" s="80">
        <f>14559.12+11903.48+302.01+59139</f>
        <v>85903.61</v>
      </c>
      <c r="C21" s="80">
        <f>'Worksheet - Water Fund (020)'!E107</f>
        <v>37500</v>
      </c>
      <c r="D21" s="80">
        <f>'Worksheet - Water Fund (020)'!F107</f>
        <v>0</v>
      </c>
      <c r="E21" s="80">
        <f>'Worksheet - Water Fund (020)'!G107</f>
        <v>54701.070000000007</v>
      </c>
      <c r="F21" s="80">
        <f>'Worksheet - Water Fund (020)'!H107</f>
        <v>60945.676363636368</v>
      </c>
      <c r="G21" s="80">
        <f>'Worksheet - Water Fund (020)'!I107</f>
        <v>64200</v>
      </c>
    </row>
    <row r="22" spans="1:7">
      <c r="A22" s="70" t="s">
        <v>694</v>
      </c>
      <c r="B22" s="80">
        <v>402136.63</v>
      </c>
      <c r="C22" s="80">
        <v>0</v>
      </c>
      <c r="D22" s="80">
        <v>0</v>
      </c>
      <c r="E22" s="80">
        <v>0</v>
      </c>
      <c r="F22" s="80">
        <v>401000</v>
      </c>
      <c r="G22" s="80">
        <v>400000</v>
      </c>
    </row>
    <row r="23" spans="1:7">
      <c r="A23" s="70" t="s">
        <v>32</v>
      </c>
      <c r="B23" s="80">
        <f>15456.41-5705.37</f>
        <v>9751.0400000000009</v>
      </c>
      <c r="C23" s="80">
        <f>'Worksheet - Water Fund (020)'!E113</f>
        <v>75000</v>
      </c>
      <c r="D23" s="80">
        <f>'Worksheet - Water Fund (020)'!F113</f>
        <v>0</v>
      </c>
      <c r="E23" s="80">
        <f>'Worksheet - Water Fund (020)'!G113</f>
        <v>17202.27</v>
      </c>
      <c r="F23" s="80">
        <f>'Worksheet - Water Fund (020)'!H113</f>
        <v>18766.112727272724</v>
      </c>
      <c r="G23" s="80">
        <f>'Worksheet - Water Fund (020)'!I113</f>
        <v>22000</v>
      </c>
    </row>
    <row r="24" spans="1:7">
      <c r="A24" s="70" t="s">
        <v>37</v>
      </c>
      <c r="B24" s="80">
        <f>143653+120525</f>
        <v>264178</v>
      </c>
      <c r="C24" s="80">
        <f>'Worksheet - Water Fund (020)'!E125</f>
        <v>287434</v>
      </c>
      <c r="D24" s="80">
        <f>'Worksheet - Water Fund (020)'!F125</f>
        <v>0</v>
      </c>
      <c r="E24" s="80">
        <f>'Worksheet - Water Fund (020)'!G125</f>
        <v>117078.93</v>
      </c>
      <c r="F24" s="80">
        <f>'Worksheet - Water Fund (020)'!H125</f>
        <v>246561.91</v>
      </c>
      <c r="G24" s="80">
        <f>'Worksheet - Water Fund (020)'!I125</f>
        <v>246832</v>
      </c>
    </row>
    <row r="25" spans="1:7" ht="15.75" thickBot="1">
      <c r="A25" s="18" t="s">
        <v>5</v>
      </c>
      <c r="B25" s="78">
        <f t="shared" ref="B25:G25" si="1">SUM(B15:B24)</f>
        <v>1361389.8599999999</v>
      </c>
      <c r="C25" s="78">
        <f t="shared" si="1"/>
        <v>1025151</v>
      </c>
      <c r="D25" s="78">
        <f t="shared" si="1"/>
        <v>0</v>
      </c>
      <c r="E25" s="78">
        <f t="shared" si="1"/>
        <v>792902.40000000014</v>
      </c>
      <c r="F25" s="78">
        <f t="shared" si="1"/>
        <v>1386025.4876533712</v>
      </c>
      <c r="G25" s="78">
        <f t="shared" si="1"/>
        <v>1445103.25</v>
      </c>
    </row>
    <row r="26" spans="1:7" s="25" customFormat="1" ht="13.5" thickTop="1">
      <c r="A26" s="21"/>
      <c r="B26" s="77"/>
      <c r="C26" s="77"/>
      <c r="D26" s="77"/>
      <c r="E26" s="77"/>
      <c r="F26" s="77"/>
      <c r="G26" s="77"/>
    </row>
    <row r="27" spans="1:7" s="25" customFormat="1" ht="12.75">
      <c r="A27" s="21"/>
      <c r="B27" s="81"/>
      <c r="C27" s="81"/>
      <c r="D27" s="81"/>
      <c r="E27" s="81"/>
      <c r="F27" s="81"/>
      <c r="G27" s="81"/>
    </row>
    <row r="28" spans="1:7" ht="35.1" customHeight="1" thickBot="1">
      <c r="A28" s="68" t="s">
        <v>752</v>
      </c>
      <c r="B28" s="73">
        <f t="shared" ref="B28:G28" si="2">B11-B25</f>
        <v>-157441.13000000012</v>
      </c>
      <c r="C28" s="73">
        <f t="shared" si="2"/>
        <v>138959</v>
      </c>
      <c r="D28" s="73">
        <f t="shared" si="2"/>
        <v>0</v>
      </c>
      <c r="E28" s="73">
        <f t="shared" si="2"/>
        <v>356083.6399999999</v>
      </c>
      <c r="F28" s="73">
        <f t="shared" si="2"/>
        <v>-134130.34310791665</v>
      </c>
      <c r="G28" s="73">
        <f t="shared" si="2"/>
        <v>-170493.25</v>
      </c>
    </row>
    <row r="29" spans="1:7" s="25" customFormat="1" ht="13.5" thickTop="1">
      <c r="A29" s="21"/>
      <c r="B29" s="58"/>
      <c r="C29" s="58"/>
      <c r="D29" s="58"/>
      <c r="E29" s="58"/>
      <c r="F29" s="58"/>
      <c r="G29" s="58"/>
    </row>
    <row r="30" spans="1:7">
      <c r="A30" s="18" t="s">
        <v>753</v>
      </c>
      <c r="B30" s="58"/>
      <c r="C30" s="58"/>
      <c r="D30" s="58"/>
      <c r="E30" s="58"/>
      <c r="F30" s="58"/>
      <c r="G30" s="58"/>
    </row>
    <row r="31" spans="1:7">
      <c r="A31" s="70" t="s">
        <v>8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</row>
    <row r="32" spans="1:7">
      <c r="A32" s="70" t="s">
        <v>9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</row>
    <row r="33" spans="1:7">
      <c r="A33" s="70" t="s">
        <v>34</v>
      </c>
      <c r="B33" s="77">
        <v>0</v>
      </c>
      <c r="C33" s="77">
        <v>0</v>
      </c>
      <c r="D33" s="77">
        <v>0</v>
      </c>
      <c r="E33" s="77">
        <f>' Summary - General Fund (010)'!E299</f>
        <v>0</v>
      </c>
      <c r="F33" s="77">
        <v>0</v>
      </c>
      <c r="G33" s="77">
        <f>' Summary - General Fund (010)'!F299</f>
        <v>0</v>
      </c>
    </row>
    <row r="34" spans="1:7">
      <c r="A34" s="70" t="s">
        <v>10</v>
      </c>
      <c r="B34" s="80">
        <v>-2930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</row>
    <row r="35" spans="1:7" s="3" customFormat="1" ht="15.75" thickBot="1">
      <c r="A35" s="18" t="s">
        <v>754</v>
      </c>
      <c r="B35" s="78">
        <f>SUM(B31:B34)</f>
        <v>-2930</v>
      </c>
      <c r="C35" s="78">
        <f>SUM(C31:C34)</f>
        <v>0</v>
      </c>
      <c r="D35" s="78"/>
      <c r="E35" s="78">
        <f>SUM(E31:E34)</f>
        <v>0</v>
      </c>
      <c r="F35" s="78">
        <f>SUM(F31:F34)</f>
        <v>0</v>
      </c>
      <c r="G35" s="78">
        <f>SUM(G31:G34)</f>
        <v>0</v>
      </c>
    </row>
    <row r="36" spans="1:7" s="25" customFormat="1" ht="13.5" thickTop="1">
      <c r="A36" s="21"/>
      <c r="B36" s="58"/>
      <c r="C36" s="58"/>
      <c r="D36" s="58"/>
      <c r="E36" s="58"/>
      <c r="F36" s="58"/>
      <c r="G36" s="58"/>
    </row>
    <row r="37" spans="1:7" s="25" customFormat="1" ht="50.1" customHeight="1">
      <c r="A37" s="68" t="s">
        <v>756</v>
      </c>
      <c r="B37" s="91">
        <f>B35+B28</f>
        <v>-160371.13000000012</v>
      </c>
      <c r="C37" s="91">
        <f t="shared" ref="C37:D37" si="3">C35+C28</f>
        <v>138959</v>
      </c>
      <c r="D37" s="91">
        <f t="shared" si="3"/>
        <v>0</v>
      </c>
      <c r="E37" s="91">
        <f>E35+E28</f>
        <v>356083.6399999999</v>
      </c>
      <c r="F37" s="91">
        <f t="shared" ref="F37:G37" si="4">F35+F28</f>
        <v>-134130.34310791665</v>
      </c>
      <c r="G37" s="91">
        <f t="shared" si="4"/>
        <v>-170493.25</v>
      </c>
    </row>
    <row r="38" spans="1:7">
      <c r="A38" s="109" t="s">
        <v>799</v>
      </c>
      <c r="B38" s="91">
        <f>B24-120525</f>
        <v>143653</v>
      </c>
      <c r="C38" s="91">
        <f t="shared" ref="C38:E38" si="5">C24</f>
        <v>287434</v>
      </c>
      <c r="D38" s="91">
        <f t="shared" si="5"/>
        <v>0</v>
      </c>
      <c r="E38" s="91">
        <f t="shared" si="5"/>
        <v>117078.93</v>
      </c>
      <c r="F38" s="198">
        <v>130356</v>
      </c>
      <c r="G38" s="91">
        <v>130356</v>
      </c>
    </row>
    <row r="39" spans="1:7" ht="15.75" thickBot="1">
      <c r="A39" s="68"/>
      <c r="B39" s="78">
        <f>SUM(B37:B38)</f>
        <v>-16718.130000000121</v>
      </c>
      <c r="C39" s="78">
        <f t="shared" ref="C39:G39" si="6">SUM(C37:C38)</f>
        <v>426393</v>
      </c>
      <c r="D39" s="78">
        <f t="shared" si="6"/>
        <v>0</v>
      </c>
      <c r="E39" s="78">
        <f>SUM(E37:E38)</f>
        <v>473162.56999999989</v>
      </c>
      <c r="F39" s="78">
        <f t="shared" si="6"/>
        <v>-3774.3431079166476</v>
      </c>
      <c r="G39" s="78">
        <f t="shared" si="6"/>
        <v>-40137.25</v>
      </c>
    </row>
    <row r="40" spans="1:7" s="25" customFormat="1" ht="13.5" thickTop="1">
      <c r="A40" s="21"/>
      <c r="B40" s="58"/>
      <c r="C40" s="58"/>
      <c r="D40" s="58"/>
      <c r="E40" s="58"/>
      <c r="F40" s="58"/>
      <c r="G40" s="58"/>
    </row>
    <row r="41" spans="1:7">
      <c r="A41" s="70" t="s">
        <v>14</v>
      </c>
      <c r="B41" s="77">
        <v>6613578</v>
      </c>
      <c r="C41" s="77">
        <f>B42</f>
        <v>6596859.8700000001</v>
      </c>
      <c r="D41" s="77">
        <v>0</v>
      </c>
      <c r="E41" s="77">
        <f>B42</f>
        <v>6596859.8700000001</v>
      </c>
      <c r="F41" s="77">
        <f>B42</f>
        <v>6596859.8700000001</v>
      </c>
      <c r="G41" s="77">
        <f>F42</f>
        <v>6593085.5268920837</v>
      </c>
    </row>
    <row r="42" spans="1:7" ht="15.75" thickBot="1">
      <c r="A42" s="18" t="s">
        <v>758</v>
      </c>
      <c r="B42" s="78">
        <f>B39+B41</f>
        <v>6596859.8700000001</v>
      </c>
      <c r="C42" s="78">
        <f t="shared" ref="C42:G42" si="7">C41+C39</f>
        <v>7023252.8700000001</v>
      </c>
      <c r="D42" s="78">
        <f t="shared" si="7"/>
        <v>0</v>
      </c>
      <c r="E42" s="78">
        <f t="shared" si="7"/>
        <v>7070022.4400000004</v>
      </c>
      <c r="F42" s="78">
        <f t="shared" si="7"/>
        <v>6593085.5268920837</v>
      </c>
      <c r="G42" s="78">
        <f t="shared" si="7"/>
        <v>6552948.2768920837</v>
      </c>
    </row>
    <row r="43" spans="1:7" ht="15.75" thickTop="1">
      <c r="B43" s="58"/>
      <c r="C43" s="58"/>
      <c r="D43" s="58"/>
      <c r="E43" s="58"/>
      <c r="F43" s="58"/>
      <c r="G43" s="58"/>
    </row>
    <row r="44" spans="1:7">
      <c r="B44" s="58"/>
      <c r="C44" s="58"/>
      <c r="D44" s="58"/>
      <c r="E44" s="58"/>
      <c r="F44" s="58"/>
      <c r="G44" s="58"/>
    </row>
    <row r="45" spans="1:7">
      <c r="B45" s="58"/>
      <c r="C45" s="58"/>
      <c r="D45" s="58"/>
      <c r="E45" s="58"/>
      <c r="F45" s="58"/>
      <c r="G45" s="58"/>
    </row>
    <row r="46" spans="1:7">
      <c r="A46" s="18" t="s">
        <v>759</v>
      </c>
      <c r="B46" s="58"/>
      <c r="C46" s="58"/>
      <c r="D46" s="58"/>
      <c r="E46" s="58"/>
      <c r="F46" s="58"/>
      <c r="G46" s="58"/>
    </row>
    <row r="47" spans="1:7">
      <c r="A47" s="18"/>
      <c r="B47" s="58"/>
      <c r="C47" s="58"/>
      <c r="D47" s="58"/>
      <c r="E47" s="58"/>
      <c r="F47" s="58"/>
      <c r="G47" s="58"/>
    </row>
    <row r="48" spans="1:7">
      <c r="A48" s="18" t="s">
        <v>760</v>
      </c>
      <c r="B48" s="77" t="s">
        <v>13</v>
      </c>
      <c r="C48" s="77" t="s">
        <v>13</v>
      </c>
      <c r="D48" s="77"/>
      <c r="E48" s="77" t="s">
        <v>13</v>
      </c>
      <c r="F48" s="77" t="s">
        <v>13</v>
      </c>
      <c r="G48" s="77" t="s">
        <v>13</v>
      </c>
    </row>
    <row r="49" spans="1:7">
      <c r="A49" s="70" t="s">
        <v>533</v>
      </c>
      <c r="B49" s="77">
        <v>0</v>
      </c>
      <c r="C49" s="77">
        <v>301364</v>
      </c>
      <c r="D49" s="77">
        <v>0</v>
      </c>
      <c r="E49" s="77">
        <v>0</v>
      </c>
      <c r="F49" s="77">
        <v>0</v>
      </c>
      <c r="G49" s="77">
        <v>0</v>
      </c>
    </row>
    <row r="50" spans="1:7">
      <c r="A50" s="70" t="s">
        <v>534</v>
      </c>
      <c r="B50" s="77">
        <v>870528</v>
      </c>
      <c r="C50" s="77">
        <v>466041</v>
      </c>
      <c r="D50" s="77">
        <v>0</v>
      </c>
      <c r="E50" s="77">
        <v>870600</v>
      </c>
      <c r="F50" s="77">
        <v>870600</v>
      </c>
      <c r="G50" s="77">
        <v>870600</v>
      </c>
    </row>
    <row r="51" spans="1:7">
      <c r="A51" s="70" t="s">
        <v>16</v>
      </c>
      <c r="B51" s="77">
        <v>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</row>
    <row r="52" spans="1:7">
      <c r="A52" s="70" t="s">
        <v>17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77">
        <v>0</v>
      </c>
    </row>
    <row r="53" spans="1:7">
      <c r="A53" s="70" t="s">
        <v>310</v>
      </c>
      <c r="B53" s="77">
        <v>4606815</v>
      </c>
      <c r="C53" s="77">
        <v>50000</v>
      </c>
      <c r="D53" s="77">
        <v>0</v>
      </c>
      <c r="E53" s="77">
        <f t="shared" ref="E53:F53" si="8">ROUND(4606815-E22+E23,-2)</f>
        <v>4624000</v>
      </c>
      <c r="F53" s="77">
        <f t="shared" si="8"/>
        <v>4224600</v>
      </c>
      <c r="G53" s="77">
        <f>ROUND(4606815-G22+G23,-2)</f>
        <v>4228800</v>
      </c>
    </row>
    <row r="54" spans="1:7">
      <c r="A54" s="70" t="s">
        <v>535</v>
      </c>
      <c r="B54" s="77">
        <v>0</v>
      </c>
      <c r="C54" s="77">
        <v>100000</v>
      </c>
      <c r="D54" s="77">
        <v>0</v>
      </c>
      <c r="E54" s="77">
        <v>0</v>
      </c>
      <c r="F54" s="77">
        <v>0</v>
      </c>
      <c r="G54" s="77">
        <v>0</v>
      </c>
    </row>
    <row r="55" spans="1:7">
      <c r="A55" s="70" t="s">
        <v>536</v>
      </c>
      <c r="B55" s="77">
        <v>0</v>
      </c>
      <c r="C55" s="77">
        <v>289150</v>
      </c>
      <c r="D55" s="77">
        <f t="shared" ref="D55" si="9">D11*0.25</f>
        <v>0</v>
      </c>
      <c r="E55" s="77">
        <v>0</v>
      </c>
      <c r="F55" s="77">
        <v>0</v>
      </c>
      <c r="G55" s="77">
        <v>0</v>
      </c>
    </row>
    <row r="56" spans="1:7" s="3" customFormat="1" ht="15.75" thickBot="1">
      <c r="A56" s="18" t="s">
        <v>761</v>
      </c>
      <c r="B56" s="78">
        <f t="shared" ref="B56:G56" si="10">SUM(B48:B55)</f>
        <v>5477343</v>
      </c>
      <c r="C56" s="78">
        <f t="shared" si="10"/>
        <v>1206555</v>
      </c>
      <c r="D56" s="78">
        <f t="shared" si="10"/>
        <v>0</v>
      </c>
      <c r="E56" s="78">
        <f t="shared" si="10"/>
        <v>5494600</v>
      </c>
      <c r="F56" s="78">
        <f t="shared" si="10"/>
        <v>5095200</v>
      </c>
      <c r="G56" s="78">
        <f t="shared" si="10"/>
        <v>5099400</v>
      </c>
    </row>
    <row r="57" spans="1:7" ht="15.75" thickTop="1">
      <c r="A57" s="18"/>
      <c r="B57" s="90"/>
      <c r="C57" s="90"/>
      <c r="D57" s="90"/>
      <c r="E57" s="90"/>
      <c r="F57" s="90"/>
      <c r="G57" s="90"/>
    </row>
    <row r="58" spans="1:7" ht="15.75" thickBot="1">
      <c r="A58" s="18" t="s">
        <v>762</v>
      </c>
      <c r="B58" s="87">
        <f>B42-B56</f>
        <v>1119516.8700000001</v>
      </c>
      <c r="C58" s="87">
        <f>C42-C56</f>
        <v>5816697.8700000001</v>
      </c>
      <c r="D58" s="87" t="s">
        <v>13</v>
      </c>
      <c r="E58" s="87">
        <f>SUM(E42-E56)</f>
        <v>1575422.4400000004</v>
      </c>
      <c r="F58" s="87">
        <f>F42-F56</f>
        <v>1497885.5268920837</v>
      </c>
      <c r="G58" s="87">
        <f>G42-G56</f>
        <v>1453548.2768920837</v>
      </c>
    </row>
    <row r="59" spans="1:7" ht="10.5" customHeight="1" thickTop="1">
      <c r="B59" s="21"/>
      <c r="C59" s="21"/>
      <c r="D59" s="21"/>
      <c r="E59" s="21"/>
      <c r="F59" s="21"/>
      <c r="G59" s="21"/>
    </row>
    <row r="60" spans="1:7">
      <c r="A60" s="66" t="s">
        <v>38</v>
      </c>
      <c r="B60" s="67">
        <f>(B58/B11)</f>
        <v>0.92987088411979169</v>
      </c>
      <c r="C60" s="67">
        <f>(C58/C11)</f>
        <v>4.9966909226791287</v>
      </c>
      <c r="D60" s="67"/>
      <c r="E60" s="67">
        <f>(E58/E11)</f>
        <v>1.3711414979419596</v>
      </c>
      <c r="F60" s="67">
        <f>(F58/F11)</f>
        <v>1.1964943976485705</v>
      </c>
      <c r="G60" s="67">
        <f>(G58/G11)</f>
        <v>1.1403866883925935</v>
      </c>
    </row>
    <row r="61" spans="1:7" ht="10.5" customHeight="1"/>
  </sheetData>
  <mergeCells count="2">
    <mergeCell ref="A1:G1"/>
    <mergeCell ref="A2:G2"/>
  </mergeCells>
  <pageMargins left="0.75" right="0.75" top="0.5" bottom="1" header="0.3" footer="0.3"/>
  <pageSetup scale="66" fitToHeight="0" orientation="portrait" r:id="rId1"/>
  <headerFoot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28"/>
  <sheetViews>
    <sheetView workbookViewId="0">
      <pane ySplit="4" topLeftCell="A114" activePane="bottomLeft" state="frozen"/>
      <selection pane="bottomLeft" activeCell="J112" sqref="J112"/>
    </sheetView>
  </sheetViews>
  <sheetFormatPr defaultRowHeight="15"/>
  <cols>
    <col min="1" max="1" width="10.7109375" style="21" customWidth="1"/>
    <col min="2" max="2" width="5.7109375" style="21" customWidth="1"/>
    <col min="3" max="3" width="35.7109375" style="21" customWidth="1"/>
    <col min="4" max="4" width="5.7109375" style="21" customWidth="1"/>
    <col min="5" max="9" width="15.7109375" style="23" customWidth="1"/>
    <col min="10" max="10" width="48.140625" style="23" bestFit="1" customWidth="1"/>
  </cols>
  <sheetData>
    <row r="1" spans="1:10">
      <c r="A1" s="202" t="s">
        <v>767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>
      <c r="E3" s="158">
        <v>2020</v>
      </c>
      <c r="F3" s="158">
        <v>2020</v>
      </c>
      <c r="G3" s="39">
        <v>2020</v>
      </c>
      <c r="H3" s="39">
        <v>2020</v>
      </c>
      <c r="I3" s="159" t="s">
        <v>958</v>
      </c>
      <c r="J3" s="187" t="s">
        <v>772</v>
      </c>
    </row>
    <row r="4" spans="1:10">
      <c r="E4" s="162" t="s">
        <v>747</v>
      </c>
      <c r="F4" s="162" t="s">
        <v>748</v>
      </c>
      <c r="G4" s="162" t="s">
        <v>1048</v>
      </c>
      <c r="H4" s="162" t="s">
        <v>789</v>
      </c>
      <c r="I4" s="163" t="s">
        <v>718</v>
      </c>
      <c r="J4" s="18"/>
    </row>
    <row r="5" spans="1:10">
      <c r="A5" s="19"/>
      <c r="B5" s="19"/>
      <c r="C5" s="19"/>
      <c r="D5" s="19"/>
      <c r="E5" s="20"/>
      <c r="F5" s="20"/>
      <c r="G5" s="20"/>
      <c r="H5" s="20"/>
      <c r="I5" s="21"/>
      <c r="J5"/>
    </row>
    <row r="6" spans="1:10">
      <c r="A6" s="202" t="s">
        <v>764</v>
      </c>
      <c r="B6" s="202"/>
      <c r="C6" s="202"/>
      <c r="D6" s="202"/>
      <c r="E6" s="202"/>
      <c r="F6" s="202"/>
      <c r="G6" s="202"/>
      <c r="H6" s="202"/>
      <c r="I6" s="202"/>
      <c r="J6"/>
    </row>
    <row r="7" spans="1:10">
      <c r="A7" s="43"/>
      <c r="B7" s="43"/>
      <c r="C7" s="43"/>
      <c r="D7" s="43"/>
      <c r="E7" s="43"/>
      <c r="F7" s="43"/>
      <c r="G7" s="43"/>
      <c r="H7" s="43"/>
      <c r="I7" s="43"/>
      <c r="J7"/>
    </row>
    <row r="8" spans="1:10">
      <c r="A8" s="43"/>
      <c r="B8" s="43"/>
      <c r="C8" s="43" t="s">
        <v>456</v>
      </c>
      <c r="D8" s="43"/>
      <c r="E8" s="43"/>
      <c r="F8" s="43"/>
      <c r="G8" s="43"/>
      <c r="H8" s="43"/>
      <c r="I8" s="43"/>
      <c r="J8"/>
    </row>
    <row r="9" spans="1:10" ht="15" customHeight="1">
      <c r="A9" s="21" t="s">
        <v>796</v>
      </c>
      <c r="C9" s="70" t="s">
        <v>462</v>
      </c>
      <c r="E9" s="37">
        <v>1100000</v>
      </c>
      <c r="F9" s="37">
        <v>0</v>
      </c>
      <c r="G9" s="37">
        <v>1083280.8500000001</v>
      </c>
      <c r="H9" s="37">
        <f>(G9/11)*12</f>
        <v>1181760.9272727275</v>
      </c>
      <c r="I9" s="37">
        <v>1200000</v>
      </c>
      <c r="J9" s="21"/>
    </row>
    <row r="10" spans="1:10" ht="15" customHeight="1">
      <c r="A10" s="21" t="s">
        <v>463</v>
      </c>
      <c r="C10" s="70" t="s">
        <v>464</v>
      </c>
      <c r="E10" s="37">
        <v>0</v>
      </c>
      <c r="F10" s="37">
        <v>0</v>
      </c>
      <c r="G10" s="37">
        <v>9810</v>
      </c>
      <c r="H10" s="37">
        <f t="shared" ref="H10:H11" si="0">(G10/11)*12</f>
        <v>10701.818181818182</v>
      </c>
      <c r="I10" s="37">
        <v>10000</v>
      </c>
      <c r="J10" s="21"/>
    </row>
    <row r="11" spans="1:10" ht="15" customHeight="1">
      <c r="A11" s="21" t="s">
        <v>994</v>
      </c>
      <c r="C11" s="70" t="s">
        <v>995</v>
      </c>
      <c r="E11" s="37">
        <v>0</v>
      </c>
      <c r="F11" s="37">
        <v>0</v>
      </c>
      <c r="G11" s="37">
        <v>415</v>
      </c>
      <c r="H11" s="37">
        <f t="shared" si="0"/>
        <v>452.72727272727275</v>
      </c>
      <c r="I11" s="37">
        <v>500</v>
      </c>
      <c r="J11" s="21"/>
    </row>
    <row r="12" spans="1:10" ht="15" customHeight="1" thickBot="1">
      <c r="C12" s="18" t="s">
        <v>922</v>
      </c>
      <c r="E12" s="75">
        <f>SUM(E9:E11)</f>
        <v>1100000</v>
      </c>
      <c r="F12" s="75">
        <f>SUM(F9:F11)</f>
        <v>0</v>
      </c>
      <c r="G12" s="75">
        <f>SUM(G9:G11)</f>
        <v>1093505.8500000001</v>
      </c>
      <c r="H12" s="75">
        <f>SUM(H9:H11)</f>
        <v>1192915.4727272729</v>
      </c>
      <c r="I12" s="75">
        <f>SUM(I9:I11)</f>
        <v>1210500</v>
      </c>
      <c r="J12" s="21"/>
    </row>
    <row r="13" spans="1:10" ht="15" customHeight="1" thickTop="1">
      <c r="E13" s="188"/>
      <c r="F13" s="188"/>
      <c r="G13" s="188"/>
      <c r="H13" s="188"/>
      <c r="I13" s="188"/>
      <c r="J13" s="188"/>
    </row>
    <row r="14" spans="1:10" ht="15" customHeight="1">
      <c r="C14" s="18" t="s">
        <v>769</v>
      </c>
    </row>
    <row r="15" spans="1:10" ht="15" customHeight="1">
      <c r="A15" s="21" t="s">
        <v>465</v>
      </c>
      <c r="C15" s="70" t="s">
        <v>480</v>
      </c>
      <c r="E15" s="37">
        <v>13500</v>
      </c>
      <c r="F15" s="37">
        <v>0</v>
      </c>
      <c r="G15" s="37">
        <v>13385.89</v>
      </c>
      <c r="H15" s="37">
        <v>13385.89</v>
      </c>
      <c r="I15" s="37">
        <v>13500</v>
      </c>
      <c r="J15" s="21"/>
    </row>
    <row r="16" spans="1:10" ht="15" customHeight="1">
      <c r="A16" s="21" t="s">
        <v>466</v>
      </c>
      <c r="C16" s="70" t="s">
        <v>467</v>
      </c>
      <c r="E16" s="37">
        <v>3600</v>
      </c>
      <c r="F16" s="37">
        <v>0</v>
      </c>
      <c r="G16" s="37">
        <v>3600</v>
      </c>
      <c r="H16" s="37">
        <v>3600</v>
      </c>
      <c r="I16" s="37">
        <v>3600</v>
      </c>
      <c r="J16" s="21"/>
    </row>
    <row r="17" spans="1:10" ht="15" customHeight="1" thickBot="1">
      <c r="C17" s="18" t="s">
        <v>923</v>
      </c>
      <c r="D17" s="18"/>
      <c r="E17" s="75">
        <f>SUM(E15:E16)</f>
        <v>17100</v>
      </c>
      <c r="F17" s="75">
        <f>SUM(F15:F16)</f>
        <v>0</v>
      </c>
      <c r="G17" s="75">
        <f>SUM(G15:G16)</f>
        <v>16985.89</v>
      </c>
      <c r="H17" s="75">
        <f>SUM(H15:H16)</f>
        <v>16985.89</v>
      </c>
      <c r="I17" s="75">
        <f>SUM(I15:I16)</f>
        <v>17100</v>
      </c>
      <c r="J17" s="21"/>
    </row>
    <row r="18" spans="1:10" ht="15" customHeight="1" thickTop="1">
      <c r="E18" s="188"/>
      <c r="F18" s="188"/>
      <c r="G18" s="188"/>
      <c r="H18" s="188"/>
      <c r="I18" s="188"/>
      <c r="J18" s="188"/>
    </row>
    <row r="19" spans="1:10" ht="15" customHeight="1">
      <c r="C19" s="18" t="s">
        <v>458</v>
      </c>
    </row>
    <row r="20" spans="1:10" ht="15" customHeight="1">
      <c r="A20" s="21" t="s">
        <v>468</v>
      </c>
      <c r="C20" s="70" t="s">
        <v>469</v>
      </c>
      <c r="E20" s="37">
        <v>30000</v>
      </c>
      <c r="F20" s="37">
        <v>0</v>
      </c>
      <c r="G20" s="37">
        <v>24975</v>
      </c>
      <c r="H20" s="37">
        <f>(G20/11)*12</f>
        <v>27245.454545454544</v>
      </c>
      <c r="I20" s="37">
        <v>30000</v>
      </c>
      <c r="J20" s="21"/>
    </row>
    <row r="21" spans="1:10" ht="15" customHeight="1">
      <c r="A21" s="21" t="s">
        <v>470</v>
      </c>
      <c r="C21" s="70" t="s">
        <v>471</v>
      </c>
      <c r="E21" s="37">
        <v>3500</v>
      </c>
      <c r="F21" s="37">
        <v>0</v>
      </c>
      <c r="G21" s="37">
        <v>3464.42</v>
      </c>
      <c r="H21" s="37">
        <f t="shared" ref="H21:H24" si="1">(G21/11)*12</f>
        <v>3779.3672727272724</v>
      </c>
      <c r="I21" s="37">
        <v>4000</v>
      </c>
      <c r="J21" s="21"/>
    </row>
    <row r="22" spans="1:10" ht="15" customHeight="1">
      <c r="A22" s="21" t="s">
        <v>472</v>
      </c>
      <c r="C22" s="70" t="s">
        <v>475</v>
      </c>
      <c r="E22" s="37">
        <v>1000</v>
      </c>
      <c r="F22" s="37">
        <v>0</v>
      </c>
      <c r="G22" s="37">
        <v>482.98</v>
      </c>
      <c r="H22" s="37">
        <f t="shared" si="1"/>
        <v>526.88727272727272</v>
      </c>
      <c r="I22" s="37">
        <v>550</v>
      </c>
      <c r="J22" s="21"/>
    </row>
    <row r="23" spans="1:10" ht="15" customHeight="1">
      <c r="A23" s="21" t="s">
        <v>473</v>
      </c>
      <c r="C23" s="70" t="s">
        <v>474</v>
      </c>
      <c r="E23" s="37">
        <v>500</v>
      </c>
      <c r="F23" s="37">
        <v>0</v>
      </c>
      <c r="G23" s="37">
        <v>411.52</v>
      </c>
      <c r="H23" s="37">
        <f t="shared" si="1"/>
        <v>448.93090909090904</v>
      </c>
      <c r="I23" s="37">
        <v>450</v>
      </c>
      <c r="J23" s="21"/>
    </row>
    <row r="24" spans="1:10" ht="15" customHeight="1">
      <c r="A24" s="21" t="s">
        <v>476</v>
      </c>
      <c r="C24" s="70" t="s">
        <v>477</v>
      </c>
      <c r="E24" s="37">
        <v>10</v>
      </c>
      <c r="F24" s="37">
        <v>0</v>
      </c>
      <c r="G24" s="37">
        <v>7.53</v>
      </c>
      <c r="H24" s="37">
        <f t="shared" si="1"/>
        <v>8.2145454545454548</v>
      </c>
      <c r="I24" s="37">
        <v>10</v>
      </c>
      <c r="J24" s="21"/>
    </row>
    <row r="25" spans="1:10" s="3" customFormat="1" ht="15" customHeight="1" thickBot="1">
      <c r="A25" s="18"/>
      <c r="B25" s="18"/>
      <c r="C25" s="18" t="s">
        <v>924</v>
      </c>
      <c r="D25" s="18"/>
      <c r="E25" s="75">
        <f>SUM(E20:E24)</f>
        <v>35010</v>
      </c>
      <c r="F25" s="75">
        <f>SUM(F20:F24)</f>
        <v>0</v>
      </c>
      <c r="G25" s="75">
        <f>SUM(G20:G24)</f>
        <v>29341.449999999997</v>
      </c>
      <c r="H25" s="75">
        <f>SUM(H20:H24)</f>
        <v>32008.854545454542</v>
      </c>
      <c r="I25" s="75">
        <f>SUM(I20:I24)</f>
        <v>35010</v>
      </c>
      <c r="J25" s="18"/>
    </row>
    <row r="26" spans="1:10" ht="15" customHeight="1" thickTop="1">
      <c r="E26" s="188"/>
      <c r="F26" s="188"/>
      <c r="G26" s="188"/>
      <c r="H26" s="188"/>
      <c r="I26" s="188"/>
      <c r="J26" s="188"/>
    </row>
    <row r="27" spans="1:10" ht="15" customHeight="1">
      <c r="C27" s="18" t="s">
        <v>770</v>
      </c>
    </row>
    <row r="28" spans="1:10" ht="15" customHeight="1">
      <c r="A28" s="21" t="s">
        <v>478</v>
      </c>
      <c r="C28" s="70" t="s">
        <v>479</v>
      </c>
      <c r="E28" s="37">
        <v>12000</v>
      </c>
      <c r="F28" s="37">
        <v>0</v>
      </c>
      <c r="G28" s="37">
        <v>9152.85</v>
      </c>
      <c r="H28" s="37">
        <f>(G28/11)*12</f>
        <v>9984.9272727272728</v>
      </c>
      <c r="I28" s="37">
        <v>12000</v>
      </c>
      <c r="J28" s="21"/>
    </row>
    <row r="29" spans="1:10" s="3" customFormat="1" ht="15" customHeight="1" thickBot="1">
      <c r="A29" s="18"/>
      <c r="B29" s="18"/>
      <c r="C29" s="18" t="s">
        <v>925</v>
      </c>
      <c r="D29" s="18"/>
      <c r="E29" s="75">
        <f>SUM(E28:E28)</f>
        <v>12000</v>
      </c>
      <c r="F29" s="75">
        <f>SUM(F28:F28)</f>
        <v>0</v>
      </c>
      <c r="G29" s="75">
        <f>SUM(G28:G28)</f>
        <v>9152.85</v>
      </c>
      <c r="H29" s="75">
        <f>SUM(H28:H28)</f>
        <v>9984.9272727272728</v>
      </c>
      <c r="I29" s="75">
        <f>SUM(I28:I28)</f>
        <v>12000</v>
      </c>
      <c r="J29" s="18"/>
    </row>
    <row r="30" spans="1:10" ht="15" customHeight="1" thickTop="1">
      <c r="E30" s="188"/>
      <c r="F30" s="188"/>
      <c r="G30" s="188"/>
      <c r="H30" s="188"/>
      <c r="I30" s="188"/>
      <c r="J30" s="21"/>
    </row>
    <row r="31" spans="1:10" ht="15" customHeight="1" thickBot="1">
      <c r="A31" s="205" t="s">
        <v>926</v>
      </c>
      <c r="B31" s="205"/>
      <c r="C31" s="205"/>
      <c r="D31" s="18"/>
      <c r="E31" s="75">
        <f>E12+E17+E25+E29</f>
        <v>1164110</v>
      </c>
      <c r="F31" s="75">
        <f>F12+F17+F25+F29</f>
        <v>0</v>
      </c>
      <c r="G31" s="75">
        <f>G12+G17+G25+G29</f>
        <v>1148986.04</v>
      </c>
      <c r="H31" s="75">
        <f>H12+H17+H25+H29</f>
        <v>1251895.1445454545</v>
      </c>
      <c r="I31" s="75">
        <f>I12+I17+I25+I29</f>
        <v>1274610</v>
      </c>
      <c r="J31" s="21"/>
    </row>
    <row r="32" spans="1:10" ht="15" customHeight="1" thickTop="1">
      <c r="E32" s="188"/>
      <c r="F32" s="188"/>
      <c r="G32" s="188"/>
      <c r="H32" s="188"/>
      <c r="I32" s="188"/>
      <c r="J32" s="188"/>
    </row>
    <row r="34" spans="1:10" ht="15" customHeight="1"/>
    <row r="35" spans="1:10">
      <c r="A35" s="202" t="s">
        <v>778</v>
      </c>
      <c r="B35" s="202"/>
      <c r="C35" s="202"/>
      <c r="D35" s="202"/>
      <c r="E35" s="202"/>
      <c r="F35" s="202"/>
      <c r="G35" s="202"/>
      <c r="H35" s="202"/>
      <c r="I35" s="202"/>
      <c r="J35"/>
    </row>
    <row r="36" spans="1:10" ht="15" customHeight="1">
      <c r="A36" s="21" t="s">
        <v>13</v>
      </c>
      <c r="C36" s="21" t="s">
        <v>13</v>
      </c>
      <c r="E36" s="37" t="s">
        <v>13</v>
      </c>
      <c r="F36" s="37" t="s">
        <v>13</v>
      </c>
      <c r="G36" s="37" t="s">
        <v>13</v>
      </c>
      <c r="H36" s="37" t="s">
        <v>13</v>
      </c>
      <c r="I36" s="37" t="s">
        <v>13</v>
      </c>
      <c r="J36" s="37"/>
    </row>
    <row r="37" spans="1:10" ht="15" customHeight="1">
      <c r="C37" s="18" t="s">
        <v>30</v>
      </c>
      <c r="E37" s="37"/>
      <c r="F37" s="37"/>
      <c r="G37" s="37"/>
      <c r="H37" s="37"/>
      <c r="I37" s="37"/>
      <c r="J37" s="37"/>
    </row>
    <row r="38" spans="1:10" ht="15" customHeight="1">
      <c r="C38" s="189" t="s">
        <v>204</v>
      </c>
      <c r="E38" s="37"/>
      <c r="F38" s="37"/>
      <c r="G38" s="37"/>
      <c r="H38" s="37"/>
      <c r="I38" s="37"/>
      <c r="J38" s="37"/>
    </row>
    <row r="39" spans="1:10" ht="15" customHeight="1">
      <c r="A39" s="21" t="s">
        <v>481</v>
      </c>
      <c r="C39" s="106" t="s">
        <v>204</v>
      </c>
      <c r="E39" s="37">
        <v>102000</v>
      </c>
      <c r="F39" s="37">
        <v>0</v>
      </c>
      <c r="G39" s="37">
        <v>97860.71</v>
      </c>
      <c r="H39" s="37">
        <f>(G39/24)*26</f>
        <v>106015.76916666667</v>
      </c>
      <c r="I39" s="37">
        <v>115000</v>
      </c>
      <c r="J39" s="21"/>
    </row>
    <row r="40" spans="1:10" ht="15" customHeight="1">
      <c r="A40" s="21" t="s">
        <v>482</v>
      </c>
      <c r="C40" s="106" t="s">
        <v>483</v>
      </c>
      <c r="E40" s="37">
        <v>65000</v>
      </c>
      <c r="F40" s="37">
        <v>0</v>
      </c>
      <c r="G40" s="37">
        <v>68320.850000000006</v>
      </c>
      <c r="H40" s="37">
        <f t="shared" ref="H40:H41" si="2">(G40/24)*26</f>
        <v>74014.25416666668</v>
      </c>
      <c r="I40" s="37">
        <v>85000</v>
      </c>
      <c r="J40" s="21"/>
    </row>
    <row r="41" spans="1:10" ht="15" customHeight="1">
      <c r="A41" s="21" t="s">
        <v>484</v>
      </c>
      <c r="C41" s="106" t="s">
        <v>26</v>
      </c>
      <c r="E41" s="37">
        <v>2500</v>
      </c>
      <c r="F41" s="37">
        <v>0</v>
      </c>
      <c r="G41" s="37">
        <v>1960.75</v>
      </c>
      <c r="H41" s="37">
        <f t="shared" si="2"/>
        <v>2124.1458333333335</v>
      </c>
      <c r="I41" s="37">
        <v>2500</v>
      </c>
      <c r="J41" s="21"/>
    </row>
    <row r="42" spans="1:10" s="3" customFormat="1" ht="15" customHeight="1" thickBot="1">
      <c r="A42" s="18" t="s">
        <v>13</v>
      </c>
      <c r="B42" s="18"/>
      <c r="C42" s="189" t="s">
        <v>820</v>
      </c>
      <c r="D42" s="18"/>
      <c r="E42" s="75">
        <f>SUM(E39:E41)</f>
        <v>169500</v>
      </c>
      <c r="F42" s="75">
        <f t="shared" ref="F42:I42" si="3">SUM(F39:F41)</f>
        <v>0</v>
      </c>
      <c r="G42" s="75">
        <f t="shared" si="3"/>
        <v>168142.31</v>
      </c>
      <c r="H42" s="75">
        <f t="shared" si="3"/>
        <v>182154.16916666669</v>
      </c>
      <c r="I42" s="75">
        <f t="shared" si="3"/>
        <v>202500</v>
      </c>
      <c r="J42" s="18"/>
    </row>
    <row r="43" spans="1:10" ht="15" customHeight="1" thickTop="1">
      <c r="A43" s="21" t="s">
        <v>13</v>
      </c>
      <c r="C43" s="189" t="s">
        <v>205</v>
      </c>
      <c r="E43" s="37" t="s">
        <v>13</v>
      </c>
      <c r="F43" s="37" t="s">
        <v>13</v>
      </c>
      <c r="G43" s="37" t="s">
        <v>13</v>
      </c>
      <c r="H43" s="37" t="s">
        <v>13</v>
      </c>
      <c r="I43" s="37" t="s">
        <v>13</v>
      </c>
      <c r="J43" s="37"/>
    </row>
    <row r="44" spans="1:10" ht="15" customHeight="1">
      <c r="A44" s="21" t="s">
        <v>226</v>
      </c>
      <c r="C44" s="106" t="s">
        <v>227</v>
      </c>
      <c r="E44" s="37">
        <v>2000</v>
      </c>
      <c r="F44" s="37">
        <v>0</v>
      </c>
      <c r="G44" s="37">
        <v>1812.42</v>
      </c>
      <c r="H44" s="37">
        <f>(G44/11)*12</f>
        <v>1977.1854545454548</v>
      </c>
      <c r="I44" s="37">
        <v>2000</v>
      </c>
      <c r="J44" s="95"/>
    </row>
    <row r="45" spans="1:10" ht="15" customHeight="1">
      <c r="A45" s="21" t="s">
        <v>485</v>
      </c>
      <c r="C45" s="106" t="s">
        <v>215</v>
      </c>
      <c r="E45" s="37">
        <v>12967</v>
      </c>
      <c r="F45" s="37">
        <v>0</v>
      </c>
      <c r="G45" s="37">
        <v>12536.41</v>
      </c>
      <c r="H45" s="37">
        <f>H42*0.0765</f>
        <v>13934.793941250002</v>
      </c>
      <c r="I45" s="37">
        <f>I42*0.0765</f>
        <v>15491.25</v>
      </c>
      <c r="J45" s="21"/>
    </row>
    <row r="46" spans="1:10" ht="15" customHeight="1">
      <c r="A46" s="100" t="s">
        <v>486</v>
      </c>
      <c r="B46" s="100"/>
      <c r="C46" s="101" t="s">
        <v>231</v>
      </c>
      <c r="D46" s="100"/>
      <c r="E46" s="93">
        <v>26000</v>
      </c>
      <c r="F46" s="93">
        <v>0</v>
      </c>
      <c r="G46" s="93">
        <v>38353.24</v>
      </c>
      <c r="H46" s="37">
        <f>(G46/11)*12</f>
        <v>41839.898181818178</v>
      </c>
      <c r="I46" s="93">
        <v>50000</v>
      </c>
      <c r="J46" s="21"/>
    </row>
    <row r="47" spans="1:10" ht="15" customHeight="1">
      <c r="A47" s="100" t="s">
        <v>1230</v>
      </c>
      <c r="B47" s="100"/>
      <c r="C47" s="101" t="s">
        <v>1123</v>
      </c>
      <c r="D47" s="100"/>
      <c r="E47" s="93">
        <v>0</v>
      </c>
      <c r="F47" s="93">
        <v>0</v>
      </c>
      <c r="G47" s="93"/>
      <c r="H47" s="37"/>
      <c r="I47" s="93"/>
      <c r="J47" s="21"/>
    </row>
    <row r="48" spans="1:10" ht="15" customHeight="1">
      <c r="A48" s="21" t="s">
        <v>487</v>
      </c>
      <c r="C48" s="106" t="s">
        <v>234</v>
      </c>
      <c r="E48" s="37">
        <v>35000</v>
      </c>
      <c r="F48" s="37">
        <v>0</v>
      </c>
      <c r="G48" s="37">
        <v>37897.35</v>
      </c>
      <c r="H48" s="37">
        <f>(G48/11)*12</f>
        <v>41342.563636363637</v>
      </c>
      <c r="I48" s="37">
        <v>30000</v>
      </c>
      <c r="J48" s="95"/>
    </row>
    <row r="49" spans="1:10" s="3" customFormat="1" ht="15" customHeight="1" thickBot="1">
      <c r="A49" s="18"/>
      <c r="B49" s="18"/>
      <c r="C49" s="189" t="s">
        <v>821</v>
      </c>
      <c r="D49" s="18"/>
      <c r="E49" s="75">
        <f>SUM(E44:E48)</f>
        <v>75967</v>
      </c>
      <c r="F49" s="75">
        <f t="shared" ref="F49:I49" si="4">SUM(F44:F48)</f>
        <v>0</v>
      </c>
      <c r="G49" s="75">
        <f t="shared" si="4"/>
        <v>90599.42</v>
      </c>
      <c r="H49" s="75">
        <f t="shared" si="4"/>
        <v>99094.441213977261</v>
      </c>
      <c r="I49" s="75">
        <f t="shared" si="4"/>
        <v>97491.25</v>
      </c>
      <c r="J49" s="18"/>
    </row>
    <row r="50" spans="1:10" s="3" customFormat="1" ht="15" customHeight="1" thickTop="1" thickBot="1">
      <c r="A50" s="18"/>
      <c r="B50" s="18"/>
      <c r="C50" s="18" t="s">
        <v>814</v>
      </c>
      <c r="D50" s="18"/>
      <c r="E50" s="27">
        <f>E42+E49</f>
        <v>245467</v>
      </c>
      <c r="F50" s="27">
        <f>F42+F49</f>
        <v>0</v>
      </c>
      <c r="G50" s="27">
        <f>G42+G49</f>
        <v>258741.72999999998</v>
      </c>
      <c r="H50" s="27">
        <f>H42+H49</f>
        <v>281248.61038064398</v>
      </c>
      <c r="I50" s="27">
        <f>I42+I49</f>
        <v>299991.25</v>
      </c>
      <c r="J50" s="18"/>
    </row>
    <row r="51" spans="1:10" ht="15" customHeight="1" thickTop="1"/>
    <row r="52" spans="1:10" ht="15" customHeight="1">
      <c r="A52" s="21" t="s">
        <v>13</v>
      </c>
      <c r="C52" s="18" t="s">
        <v>207</v>
      </c>
      <c r="E52" s="37" t="s">
        <v>13</v>
      </c>
      <c r="F52" s="37" t="s">
        <v>13</v>
      </c>
      <c r="G52" s="37"/>
      <c r="H52" s="37" t="s">
        <v>13</v>
      </c>
      <c r="I52" s="37" t="s">
        <v>13</v>
      </c>
      <c r="J52" s="37"/>
    </row>
    <row r="53" spans="1:10" ht="15" customHeight="1">
      <c r="A53" s="21" t="s">
        <v>1132</v>
      </c>
      <c r="C53" s="70" t="s">
        <v>488</v>
      </c>
      <c r="E53" s="37">
        <v>2000</v>
      </c>
      <c r="F53" s="37">
        <v>0</v>
      </c>
      <c r="G53" s="37">
        <v>1008.97</v>
      </c>
      <c r="H53" s="37">
        <f>(G53/11)*12</f>
        <v>1100.6945454545455</v>
      </c>
      <c r="I53" s="37">
        <v>2000</v>
      </c>
      <c r="J53" s="21"/>
    </row>
    <row r="54" spans="1:10" s="3" customFormat="1" ht="15" customHeight="1" thickBot="1">
      <c r="A54" s="18" t="s">
        <v>13</v>
      </c>
      <c r="B54" s="18"/>
      <c r="C54" s="18" t="s">
        <v>815</v>
      </c>
      <c r="D54" s="18"/>
      <c r="E54" s="75">
        <f>SUM(E53)</f>
        <v>2000</v>
      </c>
      <c r="F54" s="75">
        <f t="shared" ref="F54:I54" si="5">SUM(F53)</f>
        <v>0</v>
      </c>
      <c r="G54" s="75">
        <f t="shared" si="5"/>
        <v>1008.97</v>
      </c>
      <c r="H54" s="75">
        <f t="shared" si="5"/>
        <v>1100.6945454545455</v>
      </c>
      <c r="I54" s="75">
        <f t="shared" si="5"/>
        <v>2000</v>
      </c>
      <c r="J54" s="18"/>
    </row>
    <row r="55" spans="1:10" ht="15" customHeight="1" thickTop="1">
      <c r="E55" s="37"/>
      <c r="F55" s="37"/>
      <c r="G55" s="37"/>
      <c r="H55" s="37"/>
      <c r="I55" s="37"/>
      <c r="J55" s="21"/>
    </row>
    <row r="56" spans="1:10" ht="15" customHeight="1">
      <c r="A56" s="21" t="s">
        <v>13</v>
      </c>
      <c r="C56" s="18" t="s">
        <v>210</v>
      </c>
      <c r="E56" s="37" t="s">
        <v>13</v>
      </c>
      <c r="F56" s="37" t="s">
        <v>13</v>
      </c>
      <c r="G56" s="37" t="s">
        <v>13</v>
      </c>
      <c r="H56" s="37" t="s">
        <v>13</v>
      </c>
      <c r="I56" s="37" t="s">
        <v>13</v>
      </c>
      <c r="J56" s="21"/>
    </row>
    <row r="57" spans="1:10" ht="15" customHeight="1">
      <c r="A57" s="21" t="s">
        <v>1133</v>
      </c>
      <c r="C57" s="70" t="s">
        <v>243</v>
      </c>
      <c r="E57" s="37">
        <v>1000</v>
      </c>
      <c r="F57" s="37">
        <v>0</v>
      </c>
      <c r="G57" s="37">
        <v>640</v>
      </c>
      <c r="H57" s="37">
        <f>(G57/11)*12</f>
        <v>698.18181818181813</v>
      </c>
      <c r="I57" s="37">
        <f>510+360</f>
        <v>870</v>
      </c>
      <c r="J57" s="21"/>
    </row>
    <row r="58" spans="1:10" ht="15" customHeight="1">
      <c r="A58" s="21" t="s">
        <v>1134</v>
      </c>
      <c r="C58" s="70" t="s">
        <v>245</v>
      </c>
      <c r="E58" s="37">
        <v>6000</v>
      </c>
      <c r="F58" s="37">
        <v>0</v>
      </c>
      <c r="G58" s="37">
        <v>4500</v>
      </c>
      <c r="H58" s="37">
        <v>6000</v>
      </c>
      <c r="I58" s="37">
        <v>6000</v>
      </c>
      <c r="J58" s="21"/>
    </row>
    <row r="59" spans="1:10" ht="15" customHeight="1">
      <c r="A59" s="21" t="s">
        <v>1135</v>
      </c>
      <c r="C59" s="70" t="s">
        <v>249</v>
      </c>
      <c r="E59" s="37">
        <v>50000</v>
      </c>
      <c r="F59" s="37">
        <v>0</v>
      </c>
      <c r="G59" s="37">
        <v>31811.41</v>
      </c>
      <c r="H59" s="37">
        <f>(G59/11)*12</f>
        <v>34703.356363636361</v>
      </c>
      <c r="I59" s="37">
        <v>45000</v>
      </c>
      <c r="J59" s="21"/>
    </row>
    <row r="60" spans="1:10" ht="15" customHeight="1">
      <c r="A60" s="21" t="s">
        <v>996</v>
      </c>
      <c r="C60" s="70" t="s">
        <v>960</v>
      </c>
      <c r="E60" s="37">
        <v>0</v>
      </c>
      <c r="F60" s="37">
        <v>0</v>
      </c>
      <c r="G60" s="37">
        <v>885.74</v>
      </c>
      <c r="H60" s="37">
        <f t="shared" ref="H60:H65" si="6">(G60/11)*12</f>
        <v>966.26181818181817</v>
      </c>
      <c r="I60" s="37">
        <v>0</v>
      </c>
      <c r="J60" s="21"/>
    </row>
    <row r="61" spans="1:10" ht="15" customHeight="1">
      <c r="A61" s="21" t="s">
        <v>797</v>
      </c>
      <c r="C61" s="70" t="s">
        <v>27</v>
      </c>
      <c r="E61" s="37">
        <v>95000</v>
      </c>
      <c r="F61" s="37">
        <v>0</v>
      </c>
      <c r="G61" s="37">
        <v>88889.11</v>
      </c>
      <c r="H61" s="37">
        <f t="shared" si="6"/>
        <v>96969.938181818186</v>
      </c>
      <c r="I61" s="37">
        <v>99880</v>
      </c>
      <c r="J61" s="21"/>
    </row>
    <row r="62" spans="1:10" ht="15" customHeight="1">
      <c r="A62" s="21" t="s">
        <v>1136</v>
      </c>
      <c r="C62" s="70" t="s">
        <v>1142</v>
      </c>
      <c r="E62" s="37">
        <v>0</v>
      </c>
      <c r="F62" s="37">
        <v>0</v>
      </c>
      <c r="G62" s="37">
        <v>1365.31</v>
      </c>
      <c r="H62" s="37">
        <f t="shared" si="6"/>
        <v>1489.4290909090907</v>
      </c>
      <c r="I62" s="37">
        <v>1535</v>
      </c>
      <c r="J62" s="21"/>
    </row>
    <row r="63" spans="1:10" ht="15" customHeight="1">
      <c r="A63" s="21" t="s">
        <v>798</v>
      </c>
      <c r="C63" s="70" t="s">
        <v>376</v>
      </c>
      <c r="E63" s="37">
        <v>1500</v>
      </c>
      <c r="F63" s="37">
        <v>0</v>
      </c>
      <c r="G63" s="37">
        <v>824.9</v>
      </c>
      <c r="H63" s="37">
        <f t="shared" si="6"/>
        <v>899.89090909090896</v>
      </c>
      <c r="I63" s="37">
        <v>930</v>
      </c>
      <c r="J63" s="21" t="s">
        <v>13</v>
      </c>
    </row>
    <row r="64" spans="1:10" ht="15" customHeight="1">
      <c r="A64" s="21" t="s">
        <v>645</v>
      </c>
      <c r="C64" s="70" t="s">
        <v>491</v>
      </c>
      <c r="E64" s="37">
        <v>10500</v>
      </c>
      <c r="F64" s="37">
        <v>0</v>
      </c>
      <c r="G64" s="37">
        <v>0</v>
      </c>
      <c r="H64" s="37">
        <f t="shared" si="6"/>
        <v>0</v>
      </c>
      <c r="I64" s="37">
        <v>0</v>
      </c>
      <c r="J64" s="21" t="s">
        <v>1305</v>
      </c>
    </row>
    <row r="65" spans="1:10" ht="15" customHeight="1">
      <c r="A65" s="21" t="s">
        <v>1137</v>
      </c>
      <c r="C65" s="70" t="s">
        <v>28</v>
      </c>
      <c r="E65" s="37">
        <v>1000</v>
      </c>
      <c r="F65" s="37">
        <v>0</v>
      </c>
      <c r="G65" s="37">
        <v>1192.79</v>
      </c>
      <c r="H65" s="37">
        <f t="shared" si="6"/>
        <v>1301.2254545454546</v>
      </c>
      <c r="I65" s="37">
        <v>1250</v>
      </c>
      <c r="J65" s="21"/>
    </row>
    <row r="66" spans="1:10" ht="15" customHeight="1">
      <c r="A66" s="21" t="s">
        <v>912</v>
      </c>
      <c r="C66" s="70" t="s">
        <v>250</v>
      </c>
      <c r="E66" s="37">
        <v>800</v>
      </c>
      <c r="F66" s="37">
        <v>0</v>
      </c>
      <c r="G66" s="37">
        <v>1605.07</v>
      </c>
      <c r="H66" s="37">
        <v>1605</v>
      </c>
      <c r="I66" s="37">
        <v>1545</v>
      </c>
      <c r="J66" s="21"/>
    </row>
    <row r="67" spans="1:10" ht="15" customHeight="1">
      <c r="A67" s="21" t="s">
        <v>1131</v>
      </c>
      <c r="C67" s="70" t="s">
        <v>489</v>
      </c>
      <c r="E67" s="37">
        <v>600</v>
      </c>
      <c r="F67" s="37">
        <v>0</v>
      </c>
      <c r="G67" s="37">
        <v>400</v>
      </c>
      <c r="H67" s="37">
        <f>(G67/11)*12</f>
        <v>436.36363636363637</v>
      </c>
      <c r="I67" s="37">
        <v>600</v>
      </c>
      <c r="J67" s="21" t="s">
        <v>695</v>
      </c>
    </row>
    <row r="68" spans="1:10" ht="15" customHeight="1">
      <c r="A68" s="21" t="s">
        <v>1011</v>
      </c>
      <c r="C68" s="70" t="s">
        <v>1012</v>
      </c>
      <c r="E68" s="37">
        <v>0</v>
      </c>
      <c r="F68" s="37">
        <v>0</v>
      </c>
      <c r="G68" s="37">
        <v>2724.98</v>
      </c>
      <c r="H68" s="37">
        <f t="shared" ref="H68:H72" si="7">(G68/11)*12</f>
        <v>2972.7054545454544</v>
      </c>
      <c r="I68" s="37">
        <v>2720</v>
      </c>
      <c r="J68" s="21"/>
    </row>
    <row r="69" spans="1:10" ht="15" customHeight="1">
      <c r="A69" s="21" t="s">
        <v>1138</v>
      </c>
      <c r="C69" s="70" t="s">
        <v>1118</v>
      </c>
      <c r="E69" s="37">
        <v>10000</v>
      </c>
      <c r="F69" s="37">
        <v>0</v>
      </c>
      <c r="G69" s="37">
        <v>0</v>
      </c>
      <c r="H69" s="37">
        <f t="shared" si="7"/>
        <v>0</v>
      </c>
      <c r="I69" s="37">
        <v>0</v>
      </c>
      <c r="J69" s="21" t="s">
        <v>1003</v>
      </c>
    </row>
    <row r="70" spans="1:10" ht="15" customHeight="1">
      <c r="A70" s="21" t="s">
        <v>1139</v>
      </c>
      <c r="C70" s="70" t="s">
        <v>494</v>
      </c>
      <c r="E70" s="37">
        <v>50000</v>
      </c>
      <c r="F70" s="37">
        <v>0</v>
      </c>
      <c r="G70" s="37">
        <v>53382.89</v>
      </c>
      <c r="H70" s="37">
        <f t="shared" si="7"/>
        <v>58235.88</v>
      </c>
      <c r="I70" s="37">
        <v>60000</v>
      </c>
      <c r="J70" s="21"/>
    </row>
    <row r="71" spans="1:10" ht="15" customHeight="1">
      <c r="A71" s="21" t="s">
        <v>1140</v>
      </c>
      <c r="C71" s="70" t="s">
        <v>763</v>
      </c>
      <c r="E71" s="37">
        <v>6000</v>
      </c>
      <c r="F71" s="37">
        <v>0</v>
      </c>
      <c r="G71" s="37">
        <v>11328.48</v>
      </c>
      <c r="H71" s="37">
        <f t="shared" si="7"/>
        <v>12358.341818181816</v>
      </c>
      <c r="I71" s="37">
        <v>10000</v>
      </c>
      <c r="J71" s="21"/>
    </row>
    <row r="72" spans="1:10" ht="15" customHeight="1">
      <c r="A72" s="21" t="s">
        <v>1141</v>
      </c>
      <c r="C72" s="70" t="s">
        <v>1143</v>
      </c>
      <c r="E72" s="37">
        <v>35000</v>
      </c>
      <c r="F72" s="37">
        <v>0</v>
      </c>
      <c r="G72" s="37">
        <v>43735</v>
      </c>
      <c r="H72" s="37">
        <f t="shared" si="7"/>
        <v>47710.909090909088</v>
      </c>
      <c r="I72" s="37">
        <v>6500</v>
      </c>
      <c r="J72" s="21" t="s">
        <v>1004</v>
      </c>
    </row>
    <row r="73" spans="1:10" s="3" customFormat="1" ht="15" customHeight="1" thickBot="1">
      <c r="A73" s="18"/>
      <c r="B73" s="18"/>
      <c r="C73" s="18" t="s">
        <v>816</v>
      </c>
      <c r="D73" s="18"/>
      <c r="E73" s="75">
        <f>SUM(E57:E72)</f>
        <v>267400</v>
      </c>
      <c r="F73" s="75">
        <f t="shared" ref="F73:I73" si="8">SUM(F57:F72)</f>
        <v>0</v>
      </c>
      <c r="G73" s="75">
        <f t="shared" si="8"/>
        <v>243285.68000000002</v>
      </c>
      <c r="H73" s="75">
        <f t="shared" si="8"/>
        <v>266347.48363636364</v>
      </c>
      <c r="I73" s="75">
        <f t="shared" si="8"/>
        <v>236830</v>
      </c>
      <c r="J73" s="18"/>
    </row>
    <row r="74" spans="1:10" ht="15" customHeight="1" thickTop="1"/>
    <row r="75" spans="1:10" ht="15" customHeight="1">
      <c r="C75" s="18" t="s">
        <v>212</v>
      </c>
    </row>
    <row r="76" spans="1:10" ht="15" customHeight="1">
      <c r="A76" s="21" t="s">
        <v>495</v>
      </c>
      <c r="C76" s="70" t="s">
        <v>496</v>
      </c>
      <c r="E76" s="37">
        <v>20000</v>
      </c>
      <c r="F76" s="37">
        <v>0</v>
      </c>
      <c r="G76" s="102">
        <v>7889.13</v>
      </c>
      <c r="H76" s="37">
        <f>(G76/11)*12</f>
        <v>8606.323636363637</v>
      </c>
      <c r="I76" s="37">
        <v>12000</v>
      </c>
      <c r="J76" s="21"/>
    </row>
    <row r="77" spans="1:10" ht="15" customHeight="1">
      <c r="A77" s="21" t="s">
        <v>1144</v>
      </c>
      <c r="C77" s="70" t="s">
        <v>500</v>
      </c>
      <c r="E77" s="37">
        <v>1000</v>
      </c>
      <c r="F77" s="37">
        <v>0</v>
      </c>
      <c r="G77" s="102">
        <v>0</v>
      </c>
      <c r="H77" s="37">
        <f t="shared" ref="H77:H82" si="9">(G77/11)*12</f>
        <v>0</v>
      </c>
      <c r="I77" s="37">
        <v>0</v>
      </c>
      <c r="J77" s="21"/>
    </row>
    <row r="78" spans="1:10" ht="15" customHeight="1">
      <c r="A78" s="21" t="s">
        <v>497</v>
      </c>
      <c r="C78" s="70" t="s">
        <v>271</v>
      </c>
      <c r="E78" s="37">
        <v>3000</v>
      </c>
      <c r="F78" s="37">
        <v>0</v>
      </c>
      <c r="G78" s="102">
        <v>1399.57</v>
      </c>
      <c r="H78" s="37">
        <f t="shared" si="9"/>
        <v>1526.8036363636363</v>
      </c>
      <c r="I78" s="37">
        <v>3000</v>
      </c>
      <c r="J78" s="21"/>
    </row>
    <row r="79" spans="1:10" ht="15" customHeight="1">
      <c r="A79" s="21" t="s">
        <v>1145</v>
      </c>
      <c r="C79" s="70" t="s">
        <v>1146</v>
      </c>
      <c r="E79" s="37">
        <v>3000</v>
      </c>
      <c r="F79" s="37">
        <v>0</v>
      </c>
      <c r="G79" s="102">
        <v>659.89</v>
      </c>
      <c r="H79" s="37">
        <f t="shared" si="9"/>
        <v>719.88</v>
      </c>
      <c r="I79" s="37">
        <v>0</v>
      </c>
      <c r="J79" s="21"/>
    </row>
    <row r="80" spans="1:10" ht="15" customHeight="1">
      <c r="A80" s="21" t="s">
        <v>1147</v>
      </c>
      <c r="C80" s="70" t="s">
        <v>498</v>
      </c>
      <c r="E80" s="37">
        <v>2500</v>
      </c>
      <c r="F80" s="37">
        <v>0</v>
      </c>
      <c r="G80" s="102">
        <v>1207.58</v>
      </c>
      <c r="H80" s="37">
        <f t="shared" si="9"/>
        <v>1317.36</v>
      </c>
      <c r="I80" s="37">
        <v>3500</v>
      </c>
      <c r="J80" s="21"/>
    </row>
    <row r="81" spans="1:10" ht="15" customHeight="1">
      <c r="A81" s="21" t="s">
        <v>499</v>
      </c>
      <c r="C81" s="70" t="s">
        <v>492</v>
      </c>
      <c r="E81" s="37">
        <v>6000</v>
      </c>
      <c r="F81" s="37">
        <v>0</v>
      </c>
      <c r="G81" s="37">
        <v>3902.01</v>
      </c>
      <c r="H81" s="37">
        <f t="shared" si="9"/>
        <v>4256.7381818181821</v>
      </c>
      <c r="I81" s="37">
        <v>6000</v>
      </c>
      <c r="J81" s="21"/>
    </row>
    <row r="82" spans="1:10" ht="15" customHeight="1">
      <c r="A82" s="21" t="s">
        <v>501</v>
      </c>
      <c r="C82" s="70" t="s">
        <v>273</v>
      </c>
      <c r="E82" s="37">
        <v>6500</v>
      </c>
      <c r="F82" s="37">
        <v>0</v>
      </c>
      <c r="G82" s="102">
        <v>6353.99</v>
      </c>
      <c r="H82" s="37">
        <f t="shared" si="9"/>
        <v>6931.625454545454</v>
      </c>
      <c r="I82" s="37">
        <v>1500</v>
      </c>
      <c r="J82" s="21"/>
    </row>
    <row r="83" spans="1:10" s="3" customFormat="1" ht="15" customHeight="1" thickBot="1">
      <c r="A83" s="18"/>
      <c r="B83" s="18"/>
      <c r="C83" s="18" t="s">
        <v>817</v>
      </c>
      <c r="D83" s="18"/>
      <c r="E83" s="75">
        <f>SUM(E76:E82)</f>
        <v>42000</v>
      </c>
      <c r="F83" s="75">
        <f t="shared" ref="F83:I83" si="10">SUM(F76:F82)</f>
        <v>0</v>
      </c>
      <c r="G83" s="75">
        <f t="shared" si="10"/>
        <v>21412.17</v>
      </c>
      <c r="H83" s="75">
        <f t="shared" si="10"/>
        <v>23358.730909090908</v>
      </c>
      <c r="I83" s="75">
        <f t="shared" si="10"/>
        <v>26000</v>
      </c>
      <c r="J83" s="18"/>
    </row>
    <row r="84" spans="1:10" ht="15" customHeight="1" thickTop="1">
      <c r="C84" s="21" t="s">
        <v>13</v>
      </c>
    </row>
    <row r="85" spans="1:10" ht="15" customHeight="1">
      <c r="C85" s="18" t="s">
        <v>336</v>
      </c>
    </row>
    <row r="86" spans="1:10" ht="15" customHeight="1">
      <c r="A86" s="21" t="s">
        <v>503</v>
      </c>
      <c r="C86" s="70" t="s">
        <v>504</v>
      </c>
      <c r="E86" s="37">
        <v>1000</v>
      </c>
      <c r="F86" s="37">
        <v>0</v>
      </c>
      <c r="G86" s="37">
        <v>10.15</v>
      </c>
      <c r="H86" s="37">
        <f>(G86/11)*12</f>
        <v>11.072727272727272</v>
      </c>
      <c r="I86" s="37">
        <v>1000</v>
      </c>
      <c r="J86" s="21"/>
    </row>
    <row r="87" spans="1:10" ht="15" customHeight="1">
      <c r="A87" s="21" t="s">
        <v>505</v>
      </c>
      <c r="C87" s="70" t="s">
        <v>506</v>
      </c>
      <c r="E87" s="37">
        <v>2000</v>
      </c>
      <c r="F87" s="37">
        <v>0</v>
      </c>
      <c r="G87" s="37">
        <v>7387.52</v>
      </c>
      <c r="H87" s="37">
        <f>(G87/11)*12</f>
        <v>8059.1127272727281</v>
      </c>
      <c r="I87" s="37">
        <v>6000</v>
      </c>
      <c r="J87" s="21"/>
    </row>
    <row r="88" spans="1:10" s="3" customFormat="1" ht="15" customHeight="1" thickBot="1">
      <c r="A88" s="18" t="s">
        <v>13</v>
      </c>
      <c r="B88" s="18"/>
      <c r="C88" s="18" t="s">
        <v>840</v>
      </c>
      <c r="D88" s="18"/>
      <c r="E88" s="75">
        <f>SUM(E86:E87)</f>
        <v>3000</v>
      </c>
      <c r="F88" s="75">
        <f t="shared" ref="F88:I88" si="11">SUM(F86:F87)</f>
        <v>0</v>
      </c>
      <c r="G88" s="75">
        <f t="shared" si="11"/>
        <v>7397.67</v>
      </c>
      <c r="H88" s="75">
        <f t="shared" si="11"/>
        <v>8070.1854545454553</v>
      </c>
      <c r="I88" s="75">
        <f t="shared" si="11"/>
        <v>7000</v>
      </c>
      <c r="J88" s="18"/>
    </row>
    <row r="89" spans="1:10" ht="15" customHeight="1" thickTop="1">
      <c r="A89" s="21" t="s">
        <v>13</v>
      </c>
      <c r="C89" s="21" t="s">
        <v>13</v>
      </c>
      <c r="E89" s="37" t="s">
        <v>13</v>
      </c>
      <c r="F89" s="37" t="s">
        <v>13</v>
      </c>
      <c r="G89" s="37" t="s">
        <v>13</v>
      </c>
      <c r="H89" s="37" t="s">
        <v>13</v>
      </c>
      <c r="I89" s="37" t="s">
        <v>13</v>
      </c>
      <c r="J89" s="21"/>
    </row>
    <row r="90" spans="1:10" ht="15" customHeight="1">
      <c r="C90" s="18" t="s">
        <v>223</v>
      </c>
      <c r="E90" s="37"/>
      <c r="F90" s="37"/>
      <c r="G90" s="37"/>
      <c r="H90" s="37"/>
      <c r="I90" s="37"/>
      <c r="J90" s="21"/>
    </row>
    <row r="91" spans="1:10" ht="15" customHeight="1">
      <c r="A91" s="21" t="s">
        <v>507</v>
      </c>
      <c r="C91" s="70" t="s">
        <v>1212</v>
      </c>
      <c r="E91" s="37">
        <v>500</v>
      </c>
      <c r="F91" s="37">
        <v>0</v>
      </c>
      <c r="G91" s="102">
        <v>3308.89</v>
      </c>
      <c r="H91" s="37">
        <f>(G91/11)*12</f>
        <v>3609.6981818181821</v>
      </c>
      <c r="I91" s="37">
        <v>750</v>
      </c>
      <c r="J91" s="21"/>
    </row>
    <row r="92" spans="1:10" ht="15" customHeight="1">
      <c r="A92" s="21" t="s">
        <v>508</v>
      </c>
      <c r="C92" s="70" t="s">
        <v>325</v>
      </c>
      <c r="E92" s="37">
        <v>50000</v>
      </c>
      <c r="F92" s="37">
        <v>0</v>
      </c>
      <c r="G92" s="102">
        <v>20934.14</v>
      </c>
      <c r="H92" s="37">
        <f>(G92/11)*12</f>
        <v>22837.243636363637</v>
      </c>
      <c r="I92" s="37">
        <v>35000</v>
      </c>
      <c r="J92" s="21"/>
    </row>
    <row r="93" spans="1:10" ht="15" customHeight="1">
      <c r="A93" s="21" t="s">
        <v>1033</v>
      </c>
      <c r="C93" s="70" t="s">
        <v>1034</v>
      </c>
      <c r="E93" s="37">
        <v>0</v>
      </c>
      <c r="F93" s="37">
        <v>0</v>
      </c>
      <c r="G93" s="102">
        <v>0</v>
      </c>
      <c r="H93" s="37">
        <f t="shared" ref="H93:H97" si="12">(G93/11)*12</f>
        <v>0</v>
      </c>
      <c r="I93" s="37">
        <v>1650</v>
      </c>
      <c r="J93" s="21"/>
    </row>
    <row r="94" spans="1:10" ht="15" customHeight="1">
      <c r="A94" s="21" t="s">
        <v>510</v>
      </c>
      <c r="C94" s="70" t="s">
        <v>1150</v>
      </c>
      <c r="E94" s="37">
        <v>350</v>
      </c>
      <c r="F94" s="37">
        <v>0</v>
      </c>
      <c r="G94" s="102">
        <v>0</v>
      </c>
      <c r="H94" s="37">
        <f t="shared" si="12"/>
        <v>0</v>
      </c>
      <c r="I94" s="37">
        <v>350</v>
      </c>
      <c r="J94" s="21"/>
    </row>
    <row r="95" spans="1:10" ht="15" customHeight="1">
      <c r="A95" s="21" t="s">
        <v>1148</v>
      </c>
      <c r="C95" s="70" t="s">
        <v>1149</v>
      </c>
      <c r="E95" s="37">
        <v>1000</v>
      </c>
      <c r="F95" s="37">
        <v>0</v>
      </c>
      <c r="G95" s="102">
        <v>0</v>
      </c>
      <c r="H95" s="37">
        <f t="shared" si="12"/>
        <v>0</v>
      </c>
      <c r="I95" s="37">
        <v>1000</v>
      </c>
      <c r="J95" s="21"/>
    </row>
    <row r="96" spans="1:10" ht="15" customHeight="1">
      <c r="A96" s="21" t="s">
        <v>1151</v>
      </c>
      <c r="C96" s="21" t="s">
        <v>1005</v>
      </c>
      <c r="E96" s="37">
        <v>5000</v>
      </c>
      <c r="F96" s="37">
        <v>0</v>
      </c>
      <c r="G96" s="102">
        <v>36786.410000000003</v>
      </c>
      <c r="H96" s="37">
        <f t="shared" si="12"/>
        <v>40130.629090909097</v>
      </c>
      <c r="I96" s="37">
        <v>25000</v>
      </c>
      <c r="J96" s="21"/>
    </row>
    <row r="97" spans="1:10" ht="15" customHeight="1">
      <c r="A97" s="21" t="s">
        <v>1152</v>
      </c>
      <c r="C97" s="70" t="s">
        <v>1006</v>
      </c>
      <c r="E97" s="37">
        <v>8500</v>
      </c>
      <c r="F97" s="37">
        <v>0</v>
      </c>
      <c r="G97" s="102">
        <v>11044.47</v>
      </c>
      <c r="H97" s="37">
        <f t="shared" si="12"/>
        <v>12048.512727272726</v>
      </c>
      <c r="I97" s="37">
        <v>76500</v>
      </c>
      <c r="J97" s="21"/>
    </row>
    <row r="98" spans="1:10" s="3" customFormat="1" ht="15" customHeight="1" thickBot="1">
      <c r="A98" s="18"/>
      <c r="B98" s="18"/>
      <c r="C98" s="18" t="s">
        <v>822</v>
      </c>
      <c r="D98" s="18"/>
      <c r="E98" s="75">
        <f>SUM(E91:E97)</f>
        <v>65350</v>
      </c>
      <c r="F98" s="75">
        <f t="shared" ref="F98:I98" si="13">SUM(F91:F97)</f>
        <v>0</v>
      </c>
      <c r="G98" s="75">
        <f t="shared" si="13"/>
        <v>72073.91</v>
      </c>
      <c r="H98" s="75">
        <f t="shared" si="13"/>
        <v>78626.083636363648</v>
      </c>
      <c r="I98" s="75">
        <f t="shared" si="13"/>
        <v>140250</v>
      </c>
      <c r="J98" s="18"/>
    </row>
    <row r="99" spans="1:10" ht="15" customHeight="1" thickTop="1"/>
    <row r="100" spans="1:10" ht="15" customHeight="1">
      <c r="C100" s="18" t="s">
        <v>380</v>
      </c>
    </row>
    <row r="101" spans="1:10" ht="15" customHeight="1">
      <c r="A101" s="21" t="s">
        <v>1154</v>
      </c>
      <c r="C101" s="70" t="s">
        <v>490</v>
      </c>
      <c r="E101" s="37">
        <v>0</v>
      </c>
      <c r="F101" s="37">
        <v>0</v>
      </c>
      <c r="G101" s="37">
        <v>-1165.8</v>
      </c>
      <c r="H101" s="37">
        <v>0</v>
      </c>
      <c r="I101" s="37">
        <v>0</v>
      </c>
      <c r="J101" s="21"/>
    </row>
    <row r="102" spans="1:10" ht="15" customHeight="1">
      <c r="A102" s="21" t="s">
        <v>1155</v>
      </c>
      <c r="C102" s="70" t="s">
        <v>493</v>
      </c>
      <c r="E102" s="37">
        <v>5000</v>
      </c>
      <c r="F102" s="37">
        <v>0</v>
      </c>
      <c r="G102" s="37">
        <v>2125.04</v>
      </c>
      <c r="H102" s="37">
        <f>(G102/11)*12</f>
        <v>2318.2254545454543</v>
      </c>
      <c r="I102" s="37">
        <v>3000</v>
      </c>
      <c r="J102" s="21"/>
    </row>
    <row r="103" spans="1:10" ht="15" customHeight="1">
      <c r="A103" s="21" t="s">
        <v>511</v>
      </c>
      <c r="C103" s="70" t="s">
        <v>512</v>
      </c>
      <c r="E103" s="37">
        <v>14000</v>
      </c>
      <c r="F103" s="37">
        <v>0</v>
      </c>
      <c r="G103" s="102">
        <v>16772.07</v>
      </c>
      <c r="H103" s="37">
        <f t="shared" ref="H103:H106" si="14">(G103/11)*12</f>
        <v>18296.803636363635</v>
      </c>
      <c r="I103" s="37">
        <v>20000</v>
      </c>
      <c r="J103" s="21"/>
    </row>
    <row r="104" spans="1:10" ht="15" customHeight="1">
      <c r="A104" s="21" t="s">
        <v>513</v>
      </c>
      <c r="C104" s="70" t="s">
        <v>514</v>
      </c>
      <c r="E104" s="37">
        <v>8500</v>
      </c>
      <c r="F104" s="37">
        <v>0</v>
      </c>
      <c r="G104" s="102">
        <v>20275.900000000001</v>
      </c>
      <c r="H104" s="37">
        <f t="shared" si="14"/>
        <v>22119.163636363639</v>
      </c>
      <c r="I104" s="37">
        <v>25000</v>
      </c>
      <c r="J104" s="21"/>
    </row>
    <row r="105" spans="1:10" ht="15" customHeight="1">
      <c r="A105" s="21" t="s">
        <v>515</v>
      </c>
      <c r="C105" s="70" t="s">
        <v>516</v>
      </c>
      <c r="E105" s="37">
        <v>8800</v>
      </c>
      <c r="F105" s="37">
        <v>0</v>
      </c>
      <c r="G105" s="102">
        <v>15190.75</v>
      </c>
      <c r="H105" s="37">
        <f t="shared" si="14"/>
        <v>16571.727272727272</v>
      </c>
      <c r="I105" s="37">
        <v>15000</v>
      </c>
      <c r="J105" s="21"/>
    </row>
    <row r="106" spans="1:10" ht="15" customHeight="1">
      <c r="A106" s="21" t="s">
        <v>1156</v>
      </c>
      <c r="C106" s="70" t="s">
        <v>346</v>
      </c>
      <c r="E106" s="37">
        <v>1200</v>
      </c>
      <c r="F106" s="37">
        <v>0</v>
      </c>
      <c r="G106" s="102">
        <v>1503.11</v>
      </c>
      <c r="H106" s="37">
        <f t="shared" si="14"/>
        <v>1639.7563636363634</v>
      </c>
      <c r="I106" s="37">
        <v>1200</v>
      </c>
      <c r="J106" s="21"/>
    </row>
    <row r="107" spans="1:10" s="3" customFormat="1" ht="15" customHeight="1" thickBot="1">
      <c r="A107" s="18"/>
      <c r="B107" s="18"/>
      <c r="C107" s="18" t="s">
        <v>848</v>
      </c>
      <c r="D107" s="18"/>
      <c r="E107" s="75">
        <f>SUM(E101:E106)</f>
        <v>37500</v>
      </c>
      <c r="F107" s="75">
        <f t="shared" ref="F107:I107" si="15">SUM(F101:F106)</f>
        <v>0</v>
      </c>
      <c r="G107" s="75">
        <f t="shared" si="15"/>
        <v>54701.070000000007</v>
      </c>
      <c r="H107" s="75">
        <f t="shared" si="15"/>
        <v>60945.676363636368</v>
      </c>
      <c r="I107" s="75">
        <f t="shared" si="15"/>
        <v>64200</v>
      </c>
      <c r="J107" s="18"/>
    </row>
    <row r="108" spans="1:10" ht="15" customHeight="1" thickTop="1">
      <c r="J108" s="21"/>
    </row>
    <row r="109" spans="1:10" ht="15" customHeight="1">
      <c r="C109" s="18" t="s">
        <v>32</v>
      </c>
      <c r="H109" s="37"/>
      <c r="J109" s="21"/>
    </row>
    <row r="110" spans="1:10">
      <c r="A110" s="21" t="s">
        <v>517</v>
      </c>
      <c r="C110" s="70" t="s">
        <v>518</v>
      </c>
      <c r="E110" s="37">
        <v>10000</v>
      </c>
      <c r="F110" s="37">
        <v>0</v>
      </c>
      <c r="G110" s="102">
        <v>0</v>
      </c>
      <c r="H110" s="37">
        <f>(G110/11)*12</f>
        <v>0</v>
      </c>
      <c r="I110" s="37">
        <v>10000</v>
      </c>
      <c r="J110" s="21"/>
    </row>
    <row r="111" spans="1:10" ht="15" customHeight="1">
      <c r="A111" s="21" t="s">
        <v>1153</v>
      </c>
      <c r="C111" s="70" t="s">
        <v>509</v>
      </c>
      <c r="E111" s="37">
        <v>60000</v>
      </c>
      <c r="F111" s="37">
        <v>0</v>
      </c>
      <c r="G111" s="102">
        <v>14729.11</v>
      </c>
      <c r="H111" s="37">
        <f t="shared" ref="H111:H112" si="16">(G111/11)*12</f>
        <v>16068.119999999999</v>
      </c>
      <c r="I111" s="37">
        <v>0</v>
      </c>
      <c r="J111" s="21" t="s">
        <v>1306</v>
      </c>
    </row>
    <row r="112" spans="1:10">
      <c r="A112" s="21" t="s">
        <v>519</v>
      </c>
      <c r="C112" s="70" t="s">
        <v>1007</v>
      </c>
      <c r="E112" s="37">
        <v>5000</v>
      </c>
      <c r="F112" s="37">
        <v>0</v>
      </c>
      <c r="G112" s="102">
        <v>2473.16</v>
      </c>
      <c r="H112" s="37">
        <f t="shared" si="16"/>
        <v>2697.9927272727273</v>
      </c>
      <c r="I112" s="37">
        <v>12000</v>
      </c>
      <c r="J112" s="21"/>
    </row>
    <row r="113" spans="1:10" s="3" customFormat="1" ht="15.75" thickBot="1">
      <c r="A113" s="18"/>
      <c r="B113" s="18"/>
      <c r="C113" s="18" t="s">
        <v>841</v>
      </c>
      <c r="D113" s="18"/>
      <c r="E113" s="75">
        <f>SUM(E110:E112)</f>
        <v>75000</v>
      </c>
      <c r="F113" s="75">
        <f>SUM(F110:F112)</f>
        <v>0</v>
      </c>
      <c r="G113" s="75">
        <f>SUM(G110:G112)</f>
        <v>17202.27</v>
      </c>
      <c r="H113" s="75">
        <f>SUM(H110:H112)</f>
        <v>18766.112727272724</v>
      </c>
      <c r="I113" s="75">
        <f>SUM(I110:I112)</f>
        <v>22000</v>
      </c>
      <c r="J113" s="18"/>
    </row>
    <row r="114" spans="1:10" ht="15.75" thickTop="1">
      <c r="C114" s="21" t="s">
        <v>13</v>
      </c>
      <c r="J114" s="21"/>
    </row>
    <row r="115" spans="1:10">
      <c r="C115" s="18" t="s">
        <v>773</v>
      </c>
      <c r="J115" s="21"/>
    </row>
    <row r="116" spans="1:10">
      <c r="A116" s="21" t="s">
        <v>520</v>
      </c>
      <c r="C116" s="70" t="s">
        <v>521</v>
      </c>
      <c r="E116" s="37">
        <v>90954</v>
      </c>
      <c r="F116" s="37">
        <v>0</v>
      </c>
      <c r="G116" s="102">
        <v>90341.4</v>
      </c>
      <c r="H116" s="37">
        <v>90954</v>
      </c>
      <c r="I116" s="37">
        <v>90954</v>
      </c>
      <c r="J116" s="21"/>
    </row>
    <row r="117" spans="1:10">
      <c r="A117" s="21" t="s">
        <v>522</v>
      </c>
      <c r="C117" s="70" t="s">
        <v>523</v>
      </c>
      <c r="E117" s="37">
        <v>45878</v>
      </c>
      <c r="F117" s="37">
        <v>0</v>
      </c>
      <c r="G117" s="102">
        <v>0</v>
      </c>
      <c r="H117" s="37">
        <v>45878</v>
      </c>
      <c r="I117" s="37">
        <v>45878</v>
      </c>
      <c r="J117" s="21"/>
    </row>
    <row r="118" spans="1:10">
      <c r="A118" s="21" t="s">
        <v>524</v>
      </c>
      <c r="C118" s="70" t="s">
        <v>713</v>
      </c>
      <c r="E118" s="37">
        <v>109104</v>
      </c>
      <c r="F118" s="37">
        <v>0</v>
      </c>
      <c r="G118" s="102">
        <v>26111.62</v>
      </c>
      <c r="H118" s="37">
        <v>109104</v>
      </c>
      <c r="I118" s="37">
        <v>110000</v>
      </c>
      <c r="J118" s="21"/>
    </row>
    <row r="119" spans="1:10">
      <c r="A119" s="21" t="s">
        <v>525</v>
      </c>
      <c r="C119" s="70" t="s">
        <v>526</v>
      </c>
      <c r="E119" s="37">
        <v>14158</v>
      </c>
      <c r="F119" s="37">
        <v>0</v>
      </c>
      <c r="G119" s="102">
        <v>625.91</v>
      </c>
      <c r="H119" s="37">
        <v>625.91</v>
      </c>
      <c r="I119" s="37">
        <v>0</v>
      </c>
      <c r="J119" s="21"/>
    </row>
    <row r="120" spans="1:10">
      <c r="A120" s="21" t="s">
        <v>714</v>
      </c>
      <c r="C120" s="70" t="s">
        <v>715</v>
      </c>
      <c r="E120" s="37">
        <v>7340</v>
      </c>
      <c r="F120" s="37">
        <v>0</v>
      </c>
      <c r="G120" s="102">
        <v>0</v>
      </c>
      <c r="H120" s="37">
        <v>0</v>
      </c>
      <c r="I120" s="37">
        <v>0</v>
      </c>
      <c r="J120" s="21"/>
    </row>
    <row r="121" spans="1:10">
      <c r="A121" s="21" t="s">
        <v>527</v>
      </c>
      <c r="C121" s="70" t="s">
        <v>528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21"/>
    </row>
    <row r="122" spans="1:10">
      <c r="A122" s="21" t="s">
        <v>529</v>
      </c>
      <c r="C122" s="70" t="s">
        <v>530</v>
      </c>
      <c r="E122" s="37">
        <v>0</v>
      </c>
      <c r="F122" s="37">
        <v>0</v>
      </c>
      <c r="G122" s="102">
        <v>0</v>
      </c>
      <c r="H122" s="37">
        <v>0</v>
      </c>
      <c r="I122" s="37">
        <v>0</v>
      </c>
      <c r="J122" s="21"/>
    </row>
    <row r="123" spans="1:10">
      <c r="A123" s="21" t="s">
        <v>531</v>
      </c>
      <c r="C123" s="70" t="s">
        <v>532</v>
      </c>
      <c r="E123" s="37">
        <v>0</v>
      </c>
      <c r="F123" s="37">
        <v>0</v>
      </c>
      <c r="G123" s="102">
        <v>0</v>
      </c>
      <c r="H123" s="37">
        <v>0</v>
      </c>
      <c r="I123" s="37">
        <v>0</v>
      </c>
      <c r="J123" s="21"/>
    </row>
    <row r="124" spans="1:10">
      <c r="A124" s="21" t="s">
        <v>537</v>
      </c>
      <c r="C124" s="70" t="s">
        <v>538</v>
      </c>
      <c r="E124" s="37">
        <v>20000</v>
      </c>
      <c r="F124" s="37">
        <v>0</v>
      </c>
      <c r="G124" s="102">
        <v>0</v>
      </c>
      <c r="H124" s="37">
        <v>0</v>
      </c>
      <c r="I124" s="37">
        <v>0</v>
      </c>
      <c r="J124" s="21"/>
    </row>
    <row r="125" spans="1:10" s="3" customFormat="1" ht="15.75" thickBot="1">
      <c r="A125" s="18"/>
      <c r="B125" s="18"/>
      <c r="C125" s="18" t="s">
        <v>827</v>
      </c>
      <c r="D125" s="18"/>
      <c r="E125" s="75">
        <f t="shared" ref="E125:I125" si="17">SUM(E116:E124)</f>
        <v>287434</v>
      </c>
      <c r="F125" s="75">
        <f t="shared" si="17"/>
        <v>0</v>
      </c>
      <c r="G125" s="75">
        <f>SUM(G116:G124)</f>
        <v>117078.93</v>
      </c>
      <c r="H125" s="75">
        <f t="shared" si="17"/>
        <v>246561.91</v>
      </c>
      <c r="I125" s="75">
        <f t="shared" si="17"/>
        <v>246832</v>
      </c>
      <c r="J125" s="18"/>
    </row>
    <row r="126" spans="1:10" ht="15.75" thickTop="1">
      <c r="E126" s="190"/>
      <c r="F126" s="190"/>
      <c r="G126" s="190"/>
      <c r="H126" s="190"/>
      <c r="I126" s="190"/>
      <c r="J126" s="21"/>
    </row>
    <row r="127" spans="1:10" s="3" customFormat="1" ht="15.75" thickBot="1">
      <c r="A127" s="203" t="s">
        <v>927</v>
      </c>
      <c r="B127" s="203"/>
      <c r="C127" s="203"/>
      <c r="D127" s="18"/>
      <c r="E127" s="75">
        <f>E50+E54+E73+E83+E88+E98+E107+E113+E125</f>
        <v>1025151</v>
      </c>
      <c r="F127" s="75">
        <f>F50+F54+F73+F83+F88+F98+F107+F113+F125</f>
        <v>0</v>
      </c>
      <c r="G127" s="75">
        <f>G50+G54+G73+G83+G88+G98+G107+G113+G125</f>
        <v>792902.40000000014</v>
      </c>
      <c r="H127" s="75">
        <f>H50+H54+H73+H83+H88+H98+H107+H113+H125</f>
        <v>985025.4876533713</v>
      </c>
      <c r="I127" s="75">
        <f>I50+I54+I73+I83+I88+I98+I107+I113+I125</f>
        <v>1045103.25</v>
      </c>
      <c r="J127" s="18"/>
    </row>
    <row r="128" spans="1:10" ht="15.75" thickTop="1"/>
  </sheetData>
  <mergeCells count="5">
    <mergeCell ref="A6:I6"/>
    <mergeCell ref="A31:C31"/>
    <mergeCell ref="A35:I35"/>
    <mergeCell ref="A127:C127"/>
    <mergeCell ref="A1:J1"/>
  </mergeCells>
  <printOptions horizontalCentered="1"/>
  <pageMargins left="0.7" right="0.7" top="0.75" bottom="0.75" header="0.3" footer="0.3"/>
  <pageSetup scale="66" fitToHeight="0" orientation="landscape" r:id="rId1"/>
  <headerFooter>
    <oddFooter>&amp;L&amp;D&amp;CWorksheet
Page &amp;P&amp;R&amp;T</oddFooter>
  </headerFooter>
  <rowBreaks count="3" manualBreakCount="3">
    <brk id="34" max="16383" man="1"/>
    <brk id="74" max="16383" man="1"/>
    <brk id="11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8"/>
  <sheetViews>
    <sheetView topLeftCell="A46" workbookViewId="0">
      <selection activeCell="M32" sqref="M32"/>
    </sheetView>
  </sheetViews>
  <sheetFormatPr defaultRowHeight="15"/>
  <cols>
    <col min="1" max="1" width="40.7109375" style="21" customWidth="1"/>
    <col min="2" max="3" width="15.7109375" style="81" customWidth="1"/>
    <col min="4" max="4" width="17.42578125" style="81" bestFit="1" customWidth="1"/>
    <col min="5" max="7" width="15.7109375" style="81" customWidth="1"/>
    <col min="8" max="8" width="12.140625" style="84" bestFit="1" customWidth="1"/>
    <col min="9" max="9" width="9.140625" style="84"/>
    <col min="10" max="10" width="9.5703125" style="84" bestFit="1" customWidth="1"/>
    <col min="11" max="12" width="9.140625" style="84"/>
  </cols>
  <sheetData>
    <row r="1" spans="1:7">
      <c r="A1" s="200" t="s">
        <v>41</v>
      </c>
      <c r="B1" s="200"/>
      <c r="C1" s="200"/>
      <c r="D1" s="200"/>
      <c r="E1" s="200"/>
      <c r="F1" s="200"/>
      <c r="G1" s="200"/>
    </row>
    <row r="2" spans="1:7">
      <c r="A2" s="200" t="s">
        <v>606</v>
      </c>
      <c r="B2" s="200"/>
      <c r="C2" s="200"/>
      <c r="D2" s="200"/>
      <c r="E2" s="200"/>
      <c r="F2" s="200"/>
      <c r="G2" s="200"/>
    </row>
    <row r="3" spans="1:7" ht="7.5" customHeight="1">
      <c r="A3" s="18" t="s">
        <v>13</v>
      </c>
      <c r="B3" s="76" t="s">
        <v>13</v>
      </c>
      <c r="C3" s="76" t="s">
        <v>13</v>
      </c>
      <c r="D3" s="76"/>
      <c r="E3" s="76" t="s">
        <v>13</v>
      </c>
      <c r="F3" s="76" t="s">
        <v>13</v>
      </c>
      <c r="G3" s="76" t="s">
        <v>13</v>
      </c>
    </row>
    <row r="4" spans="1:7">
      <c r="A4" s="18"/>
      <c r="B4" s="46">
        <v>2019</v>
      </c>
      <c r="C4" s="46">
        <v>2020</v>
      </c>
      <c r="D4" s="46">
        <v>2020</v>
      </c>
      <c r="E4" s="39">
        <v>2020</v>
      </c>
      <c r="F4" s="39">
        <v>2020</v>
      </c>
      <c r="G4" s="47" t="s">
        <v>958</v>
      </c>
    </row>
    <row r="5" spans="1:7">
      <c r="A5" s="48" t="s">
        <v>749</v>
      </c>
      <c r="B5" s="49" t="s">
        <v>716</v>
      </c>
      <c r="C5" s="49" t="s">
        <v>747</v>
      </c>
      <c r="D5" s="49" t="s">
        <v>748</v>
      </c>
      <c r="E5" s="49" t="s">
        <v>1048</v>
      </c>
      <c r="F5" s="49" t="s">
        <v>789</v>
      </c>
      <c r="G5" s="50" t="s">
        <v>718</v>
      </c>
    </row>
    <row r="6" spans="1:7">
      <c r="A6" s="18" t="s">
        <v>750</v>
      </c>
      <c r="B6" s="76"/>
      <c r="C6" s="76"/>
      <c r="D6" s="76"/>
      <c r="E6" s="76"/>
      <c r="F6" s="76"/>
      <c r="G6" s="76"/>
    </row>
    <row r="7" spans="1:7">
      <c r="A7" s="70" t="s">
        <v>456</v>
      </c>
      <c r="B7" s="77">
        <v>787233.98</v>
      </c>
      <c r="C7" s="77">
        <f>'Worksheet - Sewer Fund (021)'!E11</f>
        <v>760000</v>
      </c>
      <c r="D7" s="77">
        <f>'Worksheet - Sewer Fund (021)'!F11</f>
        <v>0</v>
      </c>
      <c r="E7" s="77">
        <f>'Worksheet - Sewer Fund (021)'!G11</f>
        <v>857213.88</v>
      </c>
      <c r="F7" s="77">
        <f>'Worksheet - Sewer Fund (021)'!H11</f>
        <v>935142.41454545455</v>
      </c>
      <c r="G7" s="77">
        <f>'Worksheet - Sewer Fund (021)'!I11</f>
        <v>960000</v>
      </c>
    </row>
    <row r="8" spans="1:7">
      <c r="A8" s="70" t="s">
        <v>458</v>
      </c>
      <c r="B8" s="77">
        <v>0</v>
      </c>
      <c r="C8" s="77">
        <f>'Worksheet - Sewer Fund (021)'!E15</f>
        <v>50</v>
      </c>
      <c r="D8" s="77">
        <f>'Worksheet - Sewer Fund (021)'!F15</f>
        <v>0</v>
      </c>
      <c r="E8" s="77">
        <f>'Worksheet - Sewer Fund (021)'!G15</f>
        <v>0</v>
      </c>
      <c r="F8" s="77">
        <v>38</v>
      </c>
      <c r="G8" s="77">
        <f>'Worksheet - Sewer Fund (021)'!I15</f>
        <v>5</v>
      </c>
    </row>
    <row r="9" spans="1:7">
      <c r="A9" s="70" t="s">
        <v>459</v>
      </c>
      <c r="B9" s="77">
        <v>134</v>
      </c>
      <c r="C9" s="77">
        <f>'Worksheet - Sewer Fund (021)'!E19</f>
        <v>0</v>
      </c>
      <c r="D9" s="77">
        <f>'Worksheet - Sewer Fund (021)'!F19</f>
        <v>0</v>
      </c>
      <c r="E9" s="77">
        <f>'Worksheet - Sewer Fund (021)'!G19</f>
        <v>3281.9</v>
      </c>
      <c r="F9" s="77">
        <f>'Worksheet - Sewer Fund (021)'!H19</f>
        <v>3281.9</v>
      </c>
      <c r="G9" s="77">
        <f>'Worksheet - Sewer Fund (021)'!I19</f>
        <v>0</v>
      </c>
    </row>
    <row r="10" spans="1:7" ht="15.75" thickBot="1">
      <c r="A10" s="18" t="s">
        <v>460</v>
      </c>
      <c r="B10" s="78">
        <f t="shared" ref="B10:G10" si="0">SUM(B7:B9)</f>
        <v>787367.98</v>
      </c>
      <c r="C10" s="78">
        <f t="shared" si="0"/>
        <v>760050</v>
      </c>
      <c r="D10" s="78">
        <f t="shared" si="0"/>
        <v>0</v>
      </c>
      <c r="E10" s="78">
        <f t="shared" si="0"/>
        <v>860495.78</v>
      </c>
      <c r="F10" s="78">
        <f t="shared" si="0"/>
        <v>938462.31454545457</v>
      </c>
      <c r="G10" s="78">
        <f t="shared" si="0"/>
        <v>960005</v>
      </c>
    </row>
    <row r="11" spans="1:7" ht="15.75" thickTop="1">
      <c r="B11" s="77"/>
      <c r="C11" s="77"/>
      <c r="D11" s="77"/>
      <c r="E11" s="77"/>
      <c r="F11" s="77"/>
      <c r="G11" s="77"/>
    </row>
    <row r="12" spans="1:7">
      <c r="B12" s="79" t="s">
        <v>13</v>
      </c>
      <c r="C12" s="79" t="s">
        <v>13</v>
      </c>
      <c r="D12" s="79"/>
      <c r="E12" s="79" t="s">
        <v>13</v>
      </c>
      <c r="F12" s="79" t="s">
        <v>13</v>
      </c>
      <c r="G12" s="79" t="s">
        <v>13</v>
      </c>
    </row>
    <row r="13" spans="1:7">
      <c r="A13" s="18" t="s">
        <v>782</v>
      </c>
      <c r="B13" s="79"/>
      <c r="C13" s="79"/>
      <c r="D13" s="79"/>
      <c r="E13" s="79"/>
      <c r="F13" s="79"/>
      <c r="G13" s="79"/>
    </row>
    <row r="14" spans="1:7">
      <c r="A14" s="70" t="s">
        <v>30</v>
      </c>
      <c r="B14" s="80">
        <f>2073.24+85097.85+86081.04+2026.02+11482.98+15562.5+31174.06</f>
        <v>233497.69</v>
      </c>
      <c r="C14" s="80">
        <f>'Worksheet - Sewer Fund (021)'!E39</f>
        <v>260571</v>
      </c>
      <c r="D14" s="80">
        <f>'Worksheet - Sewer Fund (021)'!F39</f>
        <v>0</v>
      </c>
      <c r="E14" s="80">
        <f>'Worksheet - Sewer Fund (021)'!G39</f>
        <v>229731.05</v>
      </c>
      <c r="F14" s="80">
        <f>'Worksheet - Sewer Fund (021)'!H39</f>
        <v>249577.19397583336</v>
      </c>
      <c r="G14" s="80">
        <f>'Worksheet - Sewer Fund (021)'!I39</f>
        <v>276491.25</v>
      </c>
    </row>
    <row r="15" spans="1:7">
      <c r="A15" s="70" t="s">
        <v>207</v>
      </c>
      <c r="B15" s="80">
        <f>668.67</f>
        <v>668.67</v>
      </c>
      <c r="C15" s="80">
        <f>'Worksheet - Sewer Fund (021)'!E43</f>
        <v>1000</v>
      </c>
      <c r="D15" s="80">
        <f>'Worksheet - Sewer Fund (021)'!F43</f>
        <v>0</v>
      </c>
      <c r="E15" s="80">
        <f>'Worksheet - Sewer Fund (021)'!G43</f>
        <v>363.75</v>
      </c>
      <c r="F15" s="80">
        <f>'Worksheet - Sewer Fund (021)'!H43</f>
        <v>396.81818181818187</v>
      </c>
      <c r="G15" s="80">
        <f>'Worksheet - Sewer Fund (021)'!I43</f>
        <v>800</v>
      </c>
    </row>
    <row r="16" spans="1:7">
      <c r="A16" s="70" t="s">
        <v>210</v>
      </c>
      <c r="B16" s="80">
        <f>27089.76+5154.55+93560.08+0+4043.67+4500.01+360+4722.64+30830.02+16478.54</f>
        <v>186739.27000000002</v>
      </c>
      <c r="C16" s="80">
        <f>'Worksheet - Sewer Fund (021)'!E56</f>
        <v>185160</v>
      </c>
      <c r="D16" s="80">
        <f>'Worksheet - Sewer Fund (021)'!F56</f>
        <v>0</v>
      </c>
      <c r="E16" s="80">
        <f>'Worksheet - Sewer Fund (021)'!G56</f>
        <v>195450.13</v>
      </c>
      <c r="F16" s="80">
        <f>'Worksheet - Sewer Fund (021)'!H56</f>
        <v>213218.32363636364</v>
      </c>
      <c r="G16" s="80">
        <f>'Worksheet - Sewer Fund (021)'!I56</f>
        <v>250850</v>
      </c>
    </row>
    <row r="17" spans="1:12">
      <c r="A17" s="70" t="s">
        <v>212</v>
      </c>
      <c r="B17" s="80">
        <f>27.45+6095.13+13100.81+4714.35+187.52</f>
        <v>24125.26</v>
      </c>
      <c r="C17" s="80">
        <f>'Worksheet - Sewer Fund (021)'!E66</f>
        <v>26500</v>
      </c>
      <c r="D17" s="80">
        <f>'Worksheet - Sewer Fund (021)'!F66</f>
        <v>0</v>
      </c>
      <c r="E17" s="80">
        <f>'Worksheet - Sewer Fund (021)'!G66</f>
        <v>22413.98</v>
      </c>
      <c r="F17" s="80">
        <f>'Worksheet - Sewer Fund (021)'!H66</f>
        <v>24451.614545454548</v>
      </c>
      <c r="G17" s="80">
        <f>'Worksheet - Sewer Fund (021)'!I66</f>
        <v>30000</v>
      </c>
    </row>
    <row r="18" spans="1:12">
      <c r="A18" s="70" t="s">
        <v>223</v>
      </c>
      <c r="B18" s="80">
        <f>26992.21+11712.23+281.33</f>
        <v>38985.770000000004</v>
      </c>
      <c r="C18" s="80">
        <f>'Worksheet - Sewer Fund (021)'!E74</f>
        <v>45500</v>
      </c>
      <c r="D18" s="80">
        <f>'Worksheet - Sewer Fund (021)'!F74</f>
        <v>0</v>
      </c>
      <c r="E18" s="80">
        <f>'Worksheet - Sewer Fund (021)'!G74</f>
        <v>69251.839999999997</v>
      </c>
      <c r="F18" s="80">
        <f>'Worksheet - Sewer Fund (021)'!H74</f>
        <v>75547.461818181808</v>
      </c>
      <c r="G18" s="80">
        <f>'Worksheet - Sewer Fund (021)'!I74</f>
        <v>72150</v>
      </c>
    </row>
    <row r="19" spans="1:12">
      <c r="A19" s="70" t="s">
        <v>1114</v>
      </c>
      <c r="B19" s="80">
        <v>0</v>
      </c>
      <c r="C19" s="80">
        <f>'Worksheet - Sewer Fund (021)'!E79</f>
        <v>13000</v>
      </c>
      <c r="D19" s="80">
        <f>'Worksheet - Sewer Fund (021)'!F79</f>
        <v>0</v>
      </c>
      <c r="E19" s="80">
        <f>'Worksheet - Sewer Fund (021)'!G79</f>
        <v>9565.85</v>
      </c>
      <c r="F19" s="80">
        <f>'Worksheet - Sewer Fund (021)'!H79</f>
        <v>10435.472727272729</v>
      </c>
      <c r="G19" s="80">
        <f>'Worksheet - Sewer Fund (021)'!I79</f>
        <v>12500</v>
      </c>
    </row>
    <row r="20" spans="1:12">
      <c r="A20" s="70" t="s">
        <v>694</v>
      </c>
      <c r="B20" s="80">
        <v>190889.29</v>
      </c>
      <c r="C20" s="80">
        <v>0</v>
      </c>
      <c r="D20" s="80">
        <v>0</v>
      </c>
      <c r="E20" s="80">
        <v>0</v>
      </c>
      <c r="F20" s="80">
        <v>193800</v>
      </c>
      <c r="G20" s="80">
        <v>193800</v>
      </c>
    </row>
    <row r="21" spans="1:12">
      <c r="A21" s="70" t="s">
        <v>32</v>
      </c>
      <c r="B21" s="80">
        <f>87221.38+0</f>
        <v>87221.38</v>
      </c>
      <c r="C21" s="80">
        <f>'Worksheet - Sewer Fund (021)'!E84</f>
        <v>110000</v>
      </c>
      <c r="D21" s="80">
        <f>'Worksheet - Sewer Fund (021)'!F84</f>
        <v>0</v>
      </c>
      <c r="E21" s="80">
        <f>'Worksheet - Sewer Fund (021)'!G84</f>
        <v>84049.5</v>
      </c>
      <c r="F21" s="80">
        <f>'Worksheet - Sewer Fund (021)'!H84</f>
        <v>91690.363636363632</v>
      </c>
      <c r="G21" s="80">
        <f>'Worksheet - Sewer Fund (021)'!I84</f>
        <v>130000</v>
      </c>
    </row>
    <row r="22" spans="1:12">
      <c r="A22" s="70" t="s">
        <v>37</v>
      </c>
      <c r="B22" s="80">
        <f>2418.9+137.32</f>
        <v>2556.2200000000003</v>
      </c>
      <c r="C22" s="80">
        <f>'Worksheet - Sewer Fund (021)'!E91</f>
        <v>121446</v>
      </c>
      <c r="D22" s="80">
        <f>'Worksheet - Sewer Fund (021)'!F91</f>
        <v>0</v>
      </c>
      <c r="E22" s="80">
        <f>'Worksheet - Sewer Fund (021)'!G91</f>
        <v>2992.77</v>
      </c>
      <c r="F22" s="80">
        <f>'Worksheet - Sewer Fund (021)'!H91</f>
        <v>121446</v>
      </c>
      <c r="G22" s="80">
        <f>'Worksheet - Sewer Fund (021)'!I91</f>
        <v>121446</v>
      </c>
    </row>
    <row r="23" spans="1:12" ht="15.75" thickBot="1">
      <c r="A23" s="18" t="s">
        <v>5</v>
      </c>
      <c r="B23" s="78">
        <f t="shared" ref="B23:G23" si="1">SUM(B14:B22)</f>
        <v>764683.55</v>
      </c>
      <c r="C23" s="78">
        <f t="shared" si="1"/>
        <v>763177</v>
      </c>
      <c r="D23" s="78">
        <f t="shared" si="1"/>
        <v>0</v>
      </c>
      <c r="E23" s="78">
        <f t="shared" si="1"/>
        <v>613818.87</v>
      </c>
      <c r="F23" s="78">
        <f t="shared" si="1"/>
        <v>980563.24852128804</v>
      </c>
      <c r="G23" s="78">
        <f t="shared" si="1"/>
        <v>1088037.25</v>
      </c>
      <c r="J23" s="85"/>
    </row>
    <row r="24" spans="1:12" ht="15.75" thickTop="1">
      <c r="B24" s="77"/>
      <c r="C24" s="77"/>
      <c r="D24" s="77"/>
      <c r="E24" s="77"/>
      <c r="F24" s="77"/>
      <c r="G24" s="77"/>
    </row>
    <row r="26" spans="1:12" s="3" customFormat="1" ht="35.1" customHeight="1" thickBot="1">
      <c r="A26" s="68" t="s">
        <v>752</v>
      </c>
      <c r="B26" s="73">
        <f t="shared" ref="B26:G26" si="2">B10-B23</f>
        <v>22684.429999999935</v>
      </c>
      <c r="C26" s="73">
        <f t="shared" si="2"/>
        <v>-3127</v>
      </c>
      <c r="D26" s="73">
        <f t="shared" si="2"/>
        <v>0</v>
      </c>
      <c r="E26" s="73">
        <f t="shared" si="2"/>
        <v>246676.91000000003</v>
      </c>
      <c r="F26" s="73">
        <f t="shared" si="2"/>
        <v>-42100.933975833468</v>
      </c>
      <c r="G26" s="73">
        <f t="shared" si="2"/>
        <v>-128032.25</v>
      </c>
      <c r="H26" s="86"/>
      <c r="I26" s="86"/>
      <c r="J26" s="86"/>
      <c r="K26" s="86"/>
      <c r="L26" s="86"/>
    </row>
    <row r="27" spans="1:12" ht="15.75" thickTop="1">
      <c r="B27" s="58"/>
      <c r="C27" s="58"/>
      <c r="D27" s="58"/>
      <c r="E27" s="58"/>
      <c r="F27" s="58"/>
      <c r="G27" s="58"/>
    </row>
    <row r="28" spans="1:12">
      <c r="A28" s="18" t="s">
        <v>753</v>
      </c>
      <c r="B28" s="58"/>
      <c r="C28" s="58"/>
      <c r="D28" s="58"/>
      <c r="E28" s="58"/>
      <c r="F28" s="58"/>
      <c r="G28" s="58"/>
    </row>
    <row r="29" spans="1:12">
      <c r="A29" s="70" t="s">
        <v>8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12">
      <c r="A30" s="70" t="s">
        <v>9</v>
      </c>
      <c r="B30" s="81">
        <v>5860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</row>
    <row r="31" spans="1:12">
      <c r="A31" s="70" t="s">
        <v>34</v>
      </c>
      <c r="B31" s="77">
        <v>0</v>
      </c>
      <c r="C31" s="77">
        <v>0</v>
      </c>
      <c r="D31" s="77">
        <v>0</v>
      </c>
      <c r="E31" s="77">
        <f>' Summary - General Fund (010)'!E299</f>
        <v>0</v>
      </c>
      <c r="F31" s="77">
        <v>0</v>
      </c>
      <c r="G31" s="77">
        <f>' Summary - General Fund (010)'!F299</f>
        <v>0</v>
      </c>
    </row>
    <row r="32" spans="1:12">
      <c r="A32" s="70" t="s">
        <v>10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</row>
    <row r="33" spans="1:12" s="3" customFormat="1" ht="15.75" thickBot="1">
      <c r="A33" s="18" t="s">
        <v>754</v>
      </c>
      <c r="B33" s="78">
        <f t="shared" ref="B33:G33" si="3">SUM(B29:B32)</f>
        <v>5860</v>
      </c>
      <c r="C33" s="78">
        <f t="shared" si="3"/>
        <v>0</v>
      </c>
      <c r="D33" s="78">
        <f t="shared" si="3"/>
        <v>0</v>
      </c>
      <c r="E33" s="78">
        <f t="shared" si="3"/>
        <v>0</v>
      </c>
      <c r="F33" s="78">
        <f t="shared" si="3"/>
        <v>0</v>
      </c>
      <c r="G33" s="78">
        <f t="shared" si="3"/>
        <v>0</v>
      </c>
      <c r="H33" s="86"/>
      <c r="I33" s="86"/>
      <c r="J33" s="86"/>
      <c r="K33" s="86"/>
      <c r="L33" s="86"/>
    </row>
    <row r="34" spans="1:12" ht="15.75" thickTop="1">
      <c r="B34" s="58"/>
      <c r="C34" s="58"/>
      <c r="D34" s="58"/>
      <c r="E34" s="58"/>
      <c r="F34" s="58"/>
      <c r="G34" s="58"/>
    </row>
    <row r="35" spans="1:12" s="3" customFormat="1" ht="50.1" customHeight="1">
      <c r="A35" s="68" t="s">
        <v>756</v>
      </c>
      <c r="B35" s="91">
        <f>B26+B33</f>
        <v>28544.429999999935</v>
      </c>
      <c r="C35" s="91">
        <f t="shared" ref="C35:G35" si="4">C26+C33</f>
        <v>-3127</v>
      </c>
      <c r="D35" s="91">
        <f t="shared" si="4"/>
        <v>0</v>
      </c>
      <c r="E35" s="91">
        <f t="shared" si="4"/>
        <v>246676.91000000003</v>
      </c>
      <c r="F35" s="91">
        <f t="shared" si="4"/>
        <v>-42100.933975833468</v>
      </c>
      <c r="G35" s="91">
        <f t="shared" si="4"/>
        <v>-128032.25</v>
      </c>
      <c r="H35" s="86"/>
      <c r="I35" s="86"/>
      <c r="J35" s="86"/>
      <c r="K35" s="86"/>
      <c r="L35" s="86"/>
    </row>
    <row r="36" spans="1:12">
      <c r="A36" s="109" t="s">
        <v>799</v>
      </c>
      <c r="B36" s="105">
        <f>B22-2556</f>
        <v>0.22000000000025466</v>
      </c>
      <c r="C36" s="105">
        <f t="shared" ref="C36:E36" si="5">C22</f>
        <v>121446</v>
      </c>
      <c r="D36" s="105">
        <f t="shared" si="5"/>
        <v>0</v>
      </c>
      <c r="E36" s="105">
        <f t="shared" si="5"/>
        <v>2992.77</v>
      </c>
      <c r="F36" s="199">
        <v>118361</v>
      </c>
      <c r="G36" s="199">
        <v>118641</v>
      </c>
      <c r="H36"/>
      <c r="I36"/>
      <c r="J36"/>
      <c r="K36"/>
      <c r="L36"/>
    </row>
    <row r="37" spans="1:12" ht="15.75" thickBot="1">
      <c r="A37" s="68"/>
      <c r="B37" s="78">
        <f>SUM(B35:B36)</f>
        <v>28544.649999999936</v>
      </c>
      <c r="C37" s="78">
        <f t="shared" ref="C37:G37" si="6">SUM(C35:C36)</f>
        <v>118319</v>
      </c>
      <c r="D37" s="78">
        <f t="shared" si="6"/>
        <v>0</v>
      </c>
      <c r="E37" s="78">
        <f t="shared" si="6"/>
        <v>249669.68000000002</v>
      </c>
      <c r="F37" s="78">
        <f t="shared" si="6"/>
        <v>76260.066024166532</v>
      </c>
      <c r="G37" s="78">
        <f t="shared" si="6"/>
        <v>-9391.25</v>
      </c>
      <c r="H37"/>
      <c r="I37"/>
      <c r="J37"/>
      <c r="K37"/>
      <c r="L37"/>
    </row>
    <row r="38" spans="1:12" ht="15.75" thickTop="1">
      <c r="B38" s="58"/>
      <c r="C38" s="58"/>
      <c r="D38" s="58"/>
      <c r="E38" s="58"/>
      <c r="F38" s="58"/>
      <c r="G38" s="58"/>
    </row>
    <row r="39" spans="1:12">
      <c r="A39" s="70" t="s">
        <v>14</v>
      </c>
      <c r="B39" s="77">
        <v>2347968</v>
      </c>
      <c r="C39" s="77">
        <f>B40</f>
        <v>2376512.65</v>
      </c>
      <c r="D39" s="77">
        <v>0</v>
      </c>
      <c r="E39" s="77">
        <f>B40</f>
        <v>2376512.65</v>
      </c>
      <c r="F39" s="77">
        <f>B40</f>
        <v>2376512.65</v>
      </c>
      <c r="G39" s="77">
        <f>F40</f>
        <v>2452772.7160241664</v>
      </c>
    </row>
    <row r="40" spans="1:12" ht="15.75" thickBot="1">
      <c r="A40" s="18" t="s">
        <v>758</v>
      </c>
      <c r="B40" s="78">
        <f>B39+B37</f>
        <v>2376512.65</v>
      </c>
      <c r="C40" s="78">
        <f t="shared" ref="C40:G40" si="7">C39+C37</f>
        <v>2494831.65</v>
      </c>
      <c r="D40" s="78">
        <f t="shared" si="7"/>
        <v>0</v>
      </c>
      <c r="E40" s="78">
        <f t="shared" si="7"/>
        <v>2626182.33</v>
      </c>
      <c r="F40" s="78">
        <f t="shared" si="7"/>
        <v>2452772.7160241664</v>
      </c>
      <c r="G40" s="78">
        <f t="shared" si="7"/>
        <v>2443381.4660241664</v>
      </c>
    </row>
    <row r="41" spans="1:12" ht="15.75" thickTop="1">
      <c r="B41" s="58"/>
      <c r="C41" s="58"/>
      <c r="D41" s="58"/>
      <c r="E41" s="58"/>
      <c r="F41" s="58"/>
      <c r="G41" s="58"/>
    </row>
    <row r="42" spans="1:12">
      <c r="B42" s="58"/>
      <c r="C42" s="58"/>
      <c r="D42" s="58"/>
      <c r="E42" s="58"/>
      <c r="F42" s="58"/>
      <c r="G42" s="58"/>
    </row>
    <row r="43" spans="1:12">
      <c r="B43" s="58"/>
      <c r="C43" s="58"/>
      <c r="D43" s="58"/>
      <c r="E43" s="58"/>
      <c r="F43" s="58"/>
      <c r="G43" s="58"/>
    </row>
    <row r="44" spans="1:12">
      <c r="A44" s="18" t="s">
        <v>759</v>
      </c>
      <c r="B44" s="58"/>
      <c r="C44" s="58"/>
      <c r="D44" s="58"/>
      <c r="E44" s="58"/>
      <c r="F44" s="58"/>
      <c r="G44" s="58"/>
    </row>
    <row r="45" spans="1:12">
      <c r="A45" s="18"/>
      <c r="B45" s="58"/>
      <c r="C45" s="58"/>
      <c r="D45" s="58"/>
      <c r="E45" s="58"/>
      <c r="F45" s="58"/>
      <c r="G45" s="58"/>
    </row>
    <row r="46" spans="1:12">
      <c r="A46" s="18" t="s">
        <v>760</v>
      </c>
      <c r="B46" s="77" t="s">
        <v>13</v>
      </c>
      <c r="C46" s="77" t="s">
        <v>13</v>
      </c>
      <c r="D46" s="77"/>
      <c r="E46" s="77" t="s">
        <v>13</v>
      </c>
      <c r="F46" s="77" t="s">
        <v>13</v>
      </c>
      <c r="G46" s="77" t="s">
        <v>13</v>
      </c>
    </row>
    <row r="47" spans="1:12">
      <c r="A47" s="70" t="s">
        <v>629</v>
      </c>
      <c r="B47" s="77">
        <v>144000</v>
      </c>
      <c r="C47" s="77">
        <v>0</v>
      </c>
      <c r="D47" s="77">
        <v>0</v>
      </c>
      <c r="E47" s="77">
        <v>140000</v>
      </c>
      <c r="F47" s="77">
        <v>140000</v>
      </c>
      <c r="G47" s="77">
        <v>140000</v>
      </c>
    </row>
    <row r="48" spans="1:12">
      <c r="A48" s="70" t="s">
        <v>534</v>
      </c>
      <c r="B48" s="77">
        <v>13</v>
      </c>
      <c r="C48" s="77">
        <v>0</v>
      </c>
      <c r="D48" s="77">
        <v>0</v>
      </c>
      <c r="E48" s="77">
        <v>1000</v>
      </c>
      <c r="F48" s="77">
        <v>1000</v>
      </c>
      <c r="G48" s="77">
        <v>1000</v>
      </c>
    </row>
    <row r="49" spans="1:7">
      <c r="A49" s="70" t="s">
        <v>16</v>
      </c>
      <c r="B49" s="77">
        <v>0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</row>
    <row r="50" spans="1:7">
      <c r="A50" s="70" t="s">
        <v>17</v>
      </c>
      <c r="B50" s="77">
        <v>0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</row>
    <row r="51" spans="1:7">
      <c r="A51" s="70" t="s">
        <v>310</v>
      </c>
      <c r="B51" s="77">
        <v>1798840</v>
      </c>
      <c r="C51" s="77">
        <v>0</v>
      </c>
      <c r="D51" s="77">
        <v>0</v>
      </c>
      <c r="E51" s="77">
        <f>ROUND(1798840+E21-E20,-2)</f>
        <v>1882900</v>
      </c>
      <c r="F51" s="77">
        <f t="shared" ref="F51:G51" si="8">ROUND(1798840+F21-F20,-2)</f>
        <v>1696700</v>
      </c>
      <c r="G51" s="77">
        <f t="shared" si="8"/>
        <v>1735000</v>
      </c>
    </row>
    <row r="52" spans="1:7">
      <c r="A52" s="70" t="s">
        <v>535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77">
        <v>0</v>
      </c>
    </row>
    <row r="53" spans="1:7">
      <c r="A53" s="70" t="s">
        <v>698</v>
      </c>
      <c r="B53" s="77">
        <v>0</v>
      </c>
      <c r="C53" s="77">
        <v>0</v>
      </c>
      <c r="D53" s="77">
        <f>D10*0.1</f>
        <v>0</v>
      </c>
      <c r="E53" s="77">
        <v>0</v>
      </c>
      <c r="F53" s="77">
        <v>0</v>
      </c>
      <c r="G53" s="77">
        <v>0</v>
      </c>
    </row>
    <row r="54" spans="1:7" ht="15.75" thickBot="1">
      <c r="A54" s="18" t="s">
        <v>761</v>
      </c>
      <c r="B54" s="78">
        <f>SUM(B46:B53)</f>
        <v>1942853</v>
      </c>
      <c r="C54" s="78">
        <f>SUM(C46:C53)</f>
        <v>0</v>
      </c>
      <c r="D54" s="78"/>
      <c r="E54" s="78">
        <f>SUM(E46:E53)</f>
        <v>2023900</v>
      </c>
      <c r="F54" s="78">
        <f>SUM(F46:F53)</f>
        <v>1837700</v>
      </c>
      <c r="G54" s="78">
        <f>SUM(G46:G53)</f>
        <v>1876000</v>
      </c>
    </row>
    <row r="55" spans="1:7" ht="15.75" thickTop="1">
      <c r="A55" s="18"/>
      <c r="B55" s="90"/>
      <c r="C55" s="90"/>
      <c r="D55" s="90"/>
      <c r="E55" s="90"/>
      <c r="F55" s="90"/>
      <c r="G55" s="90"/>
    </row>
    <row r="56" spans="1:7" ht="15.75" thickBot="1">
      <c r="A56" s="18" t="s">
        <v>762</v>
      </c>
      <c r="B56" s="87">
        <f>B40-B54</f>
        <v>433659.64999999991</v>
      </c>
      <c r="C56" s="87">
        <f>C40-C54</f>
        <v>2494831.65</v>
      </c>
      <c r="D56" s="87">
        <f t="shared" ref="D56:E56" si="9">D40-D54</f>
        <v>0</v>
      </c>
      <c r="E56" s="87">
        <f t="shared" si="9"/>
        <v>602282.33000000007</v>
      </c>
      <c r="F56" s="87">
        <f>F40-F54</f>
        <v>615072.71602416644</v>
      </c>
      <c r="G56" s="87">
        <f>G40-G54</f>
        <v>567381.46602416644</v>
      </c>
    </row>
    <row r="57" spans="1:7" ht="15.75" thickTop="1">
      <c r="B57" s="21"/>
      <c r="C57" s="21"/>
      <c r="D57" s="21"/>
      <c r="E57" s="21"/>
      <c r="F57" s="21"/>
      <c r="G57" s="21"/>
    </row>
    <row r="58" spans="1:7">
      <c r="A58" s="66" t="s">
        <v>38</v>
      </c>
      <c r="B58" s="67">
        <f t="shared" ref="B58:G58" si="10">(B56/B10)</f>
        <v>0.55077125437587637</v>
      </c>
      <c r="C58" s="67">
        <f t="shared" si="10"/>
        <v>3.2824572725478585</v>
      </c>
      <c r="D58" s="67" t="e">
        <f t="shared" si="10"/>
        <v>#DIV/0!</v>
      </c>
      <c r="E58" s="67">
        <f t="shared" si="10"/>
        <v>0.69992479219363524</v>
      </c>
      <c r="F58" s="67">
        <f t="shared" si="10"/>
        <v>0.65540481113733129</v>
      </c>
      <c r="G58" s="67">
        <f t="shared" si="10"/>
        <v>0.59101928221641187</v>
      </c>
    </row>
  </sheetData>
  <mergeCells count="2">
    <mergeCell ref="A1:G1"/>
    <mergeCell ref="A2:G2"/>
  </mergeCells>
  <pageMargins left="0.75" right="0.75" top="0.5" bottom="1" header="0.3" footer="0.3"/>
  <pageSetup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94"/>
  <sheetViews>
    <sheetView workbookViewId="0">
      <pane ySplit="4" topLeftCell="A80" activePane="bottomLeft" state="frozen"/>
      <selection pane="bottomLeft" activeCell="J52" sqref="J52"/>
    </sheetView>
  </sheetViews>
  <sheetFormatPr defaultRowHeight="15"/>
  <cols>
    <col min="1" max="1" width="10.7109375" style="21" customWidth="1"/>
    <col min="2" max="2" width="5.7109375" style="21" customWidth="1"/>
    <col min="3" max="3" width="35.7109375" style="21" customWidth="1"/>
    <col min="4" max="4" width="5.7109375" style="21" customWidth="1"/>
    <col min="5" max="9" width="15.7109375" style="23" customWidth="1"/>
    <col min="10" max="10" width="37.7109375" style="23" bestFit="1" customWidth="1"/>
  </cols>
  <sheetData>
    <row r="1" spans="1:10">
      <c r="A1" s="202" t="s">
        <v>775</v>
      </c>
      <c r="B1" s="202"/>
      <c r="C1" s="202"/>
      <c r="D1" s="202"/>
      <c r="E1" s="202"/>
      <c r="F1" s="202"/>
      <c r="G1" s="202"/>
      <c r="H1" s="202"/>
      <c r="I1" s="202"/>
    </row>
    <row r="2" spans="1:10">
      <c r="A2" s="43"/>
      <c r="B2" s="43"/>
      <c r="C2" s="43"/>
      <c r="D2" s="43"/>
      <c r="E2" s="43"/>
      <c r="F2" s="43"/>
      <c r="G2" s="43"/>
      <c r="H2" s="43"/>
      <c r="I2" s="43"/>
    </row>
    <row r="3" spans="1:10">
      <c r="E3" s="158">
        <v>2020</v>
      </c>
      <c r="F3" s="158">
        <v>2020</v>
      </c>
      <c r="G3" s="39">
        <v>2020</v>
      </c>
      <c r="H3" s="39">
        <v>2020</v>
      </c>
      <c r="I3" s="159" t="s">
        <v>958</v>
      </c>
      <c r="J3" s="187" t="s">
        <v>772</v>
      </c>
    </row>
    <row r="4" spans="1:10">
      <c r="E4" s="162" t="s">
        <v>747</v>
      </c>
      <c r="F4" s="162" t="s">
        <v>748</v>
      </c>
      <c r="G4" s="162" t="s">
        <v>1048</v>
      </c>
      <c r="H4" s="162" t="s">
        <v>789</v>
      </c>
      <c r="I4" s="163" t="s">
        <v>718</v>
      </c>
      <c r="J4" s="18"/>
    </row>
    <row r="5" spans="1:10">
      <c r="A5" s="19"/>
      <c r="B5" s="19"/>
      <c r="C5" s="19"/>
      <c r="D5" s="20"/>
      <c r="E5" s="20"/>
      <c r="F5" s="20"/>
      <c r="G5" s="20"/>
      <c r="H5" s="21"/>
      <c r="I5" s="21"/>
      <c r="J5" s="21"/>
    </row>
    <row r="6" spans="1:10">
      <c r="A6" s="202" t="s">
        <v>768</v>
      </c>
      <c r="B6" s="202"/>
      <c r="C6" s="202"/>
      <c r="D6" s="202"/>
      <c r="E6" s="202"/>
      <c r="F6" s="202"/>
      <c r="G6" s="202"/>
      <c r="H6" s="202"/>
      <c r="I6" s="21"/>
      <c r="J6" s="21"/>
    </row>
    <row r="7" spans="1:10">
      <c r="A7" s="43"/>
      <c r="B7" s="43"/>
      <c r="C7" s="43"/>
      <c r="D7" s="43"/>
      <c r="E7" s="43"/>
      <c r="F7" s="43"/>
      <c r="G7" s="43"/>
      <c r="H7" s="43"/>
      <c r="I7" s="21"/>
      <c r="J7" s="21"/>
    </row>
    <row r="8" spans="1:10">
      <c r="A8" s="43"/>
      <c r="B8" s="43"/>
      <c r="C8" s="43" t="s">
        <v>456</v>
      </c>
      <c r="D8" s="43"/>
      <c r="E8" s="43"/>
      <c r="F8" s="43"/>
      <c r="G8" s="43"/>
      <c r="H8" s="43"/>
      <c r="I8" s="21"/>
      <c r="J8" s="21"/>
    </row>
    <row r="9" spans="1:10">
      <c r="A9" s="21" t="s">
        <v>608</v>
      </c>
      <c r="C9" s="70" t="s">
        <v>607</v>
      </c>
      <c r="E9" s="37">
        <v>650000</v>
      </c>
      <c r="F9" s="37">
        <v>0</v>
      </c>
      <c r="G9" s="37">
        <v>758392.4</v>
      </c>
      <c r="H9" s="37">
        <f>(G9/11)*12</f>
        <v>827337.16363636369</v>
      </c>
      <c r="I9" s="37">
        <v>850000</v>
      </c>
      <c r="J9" s="21"/>
    </row>
    <row r="10" spans="1:10">
      <c r="A10" s="21" t="s">
        <v>609</v>
      </c>
      <c r="C10" s="70" t="s">
        <v>610</v>
      </c>
      <c r="E10" s="37">
        <v>110000</v>
      </c>
      <c r="F10" s="37">
        <v>0</v>
      </c>
      <c r="G10" s="37">
        <v>98821.48</v>
      </c>
      <c r="H10" s="37">
        <f>(G10/11)*12</f>
        <v>107805.2509090909</v>
      </c>
      <c r="I10" s="37">
        <v>110000</v>
      </c>
      <c r="J10" s="21"/>
    </row>
    <row r="11" spans="1:10" s="3" customFormat="1" ht="15.75" thickBot="1">
      <c r="A11" s="18"/>
      <c r="B11" s="18"/>
      <c r="C11" s="18" t="s">
        <v>922</v>
      </c>
      <c r="D11" s="18"/>
      <c r="E11" s="75">
        <f>SUM(E9:E10)</f>
        <v>760000</v>
      </c>
      <c r="F11" s="75">
        <f>SUM(F9:F10)</f>
        <v>0</v>
      </c>
      <c r="G11" s="75">
        <f>SUM(G9:G10)</f>
        <v>857213.88</v>
      </c>
      <c r="H11" s="75">
        <f>SUM(H9:H10)</f>
        <v>935142.41454545455</v>
      </c>
      <c r="I11" s="75">
        <f>SUM(I9:I10)</f>
        <v>960000</v>
      </c>
      <c r="J11" s="18"/>
    </row>
    <row r="12" spans="1:10" ht="15.75" thickTop="1">
      <c r="E12" s="188"/>
      <c r="F12" s="188"/>
      <c r="G12" s="188"/>
      <c r="H12" s="188"/>
      <c r="I12" s="188"/>
      <c r="J12" s="21"/>
    </row>
    <row r="13" spans="1:10">
      <c r="C13" s="18" t="s">
        <v>771</v>
      </c>
      <c r="E13" s="188"/>
      <c r="F13" s="188"/>
      <c r="G13" s="188"/>
      <c r="H13" s="188"/>
      <c r="I13" s="188"/>
      <c r="J13" s="21"/>
    </row>
    <row r="14" spans="1:10">
      <c r="A14" s="21" t="s">
        <v>476</v>
      </c>
      <c r="C14" s="70" t="s">
        <v>611</v>
      </c>
      <c r="E14" s="37">
        <v>50</v>
      </c>
      <c r="F14" s="37">
        <v>0</v>
      </c>
      <c r="G14" s="37">
        <v>0</v>
      </c>
      <c r="H14" s="37">
        <v>0</v>
      </c>
      <c r="I14" s="37">
        <v>5</v>
      </c>
      <c r="J14" s="21"/>
    </row>
    <row r="15" spans="1:10" s="3" customFormat="1" ht="15.75" thickBot="1">
      <c r="A15" s="18"/>
      <c r="B15" s="18"/>
      <c r="C15" s="18" t="s">
        <v>924</v>
      </c>
      <c r="D15" s="18"/>
      <c r="E15" s="75">
        <f>SUM(E14:E14)</f>
        <v>50</v>
      </c>
      <c r="F15" s="75">
        <f>SUM(F14:F14)</f>
        <v>0</v>
      </c>
      <c r="G15" s="75">
        <f>SUM(G14:G14)</f>
        <v>0</v>
      </c>
      <c r="H15" s="75">
        <f>SUM(H14:H14)</f>
        <v>0</v>
      </c>
      <c r="I15" s="75">
        <f>SUM(I14:I14)</f>
        <v>5</v>
      </c>
      <c r="J15" s="18"/>
    </row>
    <row r="16" spans="1:10" ht="15.75" thickTop="1">
      <c r="E16" s="188"/>
      <c r="F16" s="188"/>
      <c r="G16" s="188"/>
      <c r="H16" s="188"/>
      <c r="I16" s="188"/>
      <c r="J16" s="21"/>
    </row>
    <row r="17" spans="1:10">
      <c r="C17" s="18" t="s">
        <v>770</v>
      </c>
      <c r="E17" s="188"/>
      <c r="F17" s="188"/>
      <c r="G17" s="188"/>
      <c r="H17" s="188"/>
      <c r="I17" s="188"/>
      <c r="J17" s="21"/>
    </row>
    <row r="18" spans="1:10">
      <c r="A18" s="21" t="s">
        <v>612</v>
      </c>
      <c r="C18" s="70" t="s">
        <v>613</v>
      </c>
      <c r="E18" s="37">
        <v>0</v>
      </c>
      <c r="F18" s="37">
        <v>0</v>
      </c>
      <c r="G18" s="37">
        <v>3281.9</v>
      </c>
      <c r="H18" s="37">
        <v>3281.9</v>
      </c>
      <c r="I18" s="37">
        <v>0</v>
      </c>
      <c r="J18" s="21"/>
    </row>
    <row r="19" spans="1:10" s="3" customFormat="1" ht="15.75" thickBot="1">
      <c r="A19" s="18"/>
      <c r="B19" s="18"/>
      <c r="C19" s="18" t="s">
        <v>928</v>
      </c>
      <c r="D19" s="18"/>
      <c r="E19" s="75">
        <f>SUM(E18:E18)</f>
        <v>0</v>
      </c>
      <c r="F19" s="75">
        <f>SUM(F18:F18)</f>
        <v>0</v>
      </c>
      <c r="G19" s="75">
        <f>SUM(G18:G18)</f>
        <v>3281.9</v>
      </c>
      <c r="H19" s="75">
        <f>SUM(H18:H18)</f>
        <v>3281.9</v>
      </c>
      <c r="I19" s="75">
        <v>0</v>
      </c>
      <c r="J19" s="18"/>
    </row>
    <row r="20" spans="1:10" ht="15.75" thickTop="1">
      <c r="E20" s="188"/>
      <c r="F20" s="188"/>
      <c r="G20" s="188"/>
      <c r="H20" s="188"/>
      <c r="I20" s="188">
        <v>0</v>
      </c>
      <c r="J20" s="21"/>
    </row>
    <row r="21" spans="1:10" ht="15.75" thickBot="1">
      <c r="A21" s="203" t="s">
        <v>929</v>
      </c>
      <c r="B21" s="203"/>
      <c r="C21" s="203"/>
      <c r="D21" s="18"/>
      <c r="E21" s="75">
        <f>E11+E15+E19</f>
        <v>760050</v>
      </c>
      <c r="F21" s="75">
        <f>F11+F15+F19</f>
        <v>0</v>
      </c>
      <c r="G21" s="75">
        <f>G11+G15+G19</f>
        <v>860495.78</v>
      </c>
      <c r="H21" s="75">
        <f>H11+H15+H19</f>
        <v>938424.31454545457</v>
      </c>
      <c r="I21" s="75">
        <f>I11+I15+I19</f>
        <v>960005</v>
      </c>
      <c r="J21" s="21"/>
    </row>
    <row r="22" spans="1:10" ht="15.75" thickTop="1">
      <c r="A22" s="155"/>
      <c r="B22" s="155"/>
      <c r="C22" s="155"/>
      <c r="D22" s="18"/>
      <c r="E22" s="191"/>
      <c r="F22" s="191"/>
      <c r="G22" s="191"/>
      <c r="H22" s="191"/>
      <c r="I22" s="191"/>
      <c r="J22" s="21"/>
    </row>
    <row r="23" spans="1:10">
      <c r="E23" s="188"/>
      <c r="F23" s="188"/>
      <c r="G23" s="188"/>
      <c r="H23" s="188"/>
      <c r="I23" s="188"/>
      <c r="J23" s="188"/>
    </row>
    <row r="24" spans="1:10">
      <c r="A24" s="202" t="s">
        <v>779</v>
      </c>
      <c r="B24" s="202"/>
      <c r="C24" s="202"/>
      <c r="D24" s="202"/>
      <c r="E24" s="202"/>
      <c r="F24" s="202"/>
      <c r="G24" s="202"/>
      <c r="H24" s="202"/>
      <c r="I24" s="202"/>
      <c r="J24"/>
    </row>
    <row r="25" spans="1:10">
      <c r="A25" s="43"/>
      <c r="B25" s="43"/>
      <c r="C25" s="43"/>
      <c r="D25" s="43"/>
      <c r="E25" s="43"/>
      <c r="F25" s="43"/>
      <c r="G25" s="43"/>
      <c r="H25" s="43"/>
      <c r="I25" s="43"/>
      <c r="J25"/>
    </row>
    <row r="26" spans="1:10" ht="15" customHeight="1">
      <c r="C26" s="18" t="s">
        <v>30</v>
      </c>
      <c r="E26" s="37"/>
      <c r="F26" s="37"/>
      <c r="G26" s="37"/>
      <c r="H26" s="37"/>
      <c r="I26" s="37"/>
      <c r="J26" s="37"/>
    </row>
    <row r="27" spans="1:10" ht="15" customHeight="1">
      <c r="C27" s="189" t="s">
        <v>204</v>
      </c>
      <c r="E27" s="37"/>
      <c r="F27" s="37"/>
      <c r="G27" s="37"/>
      <c r="H27" s="37"/>
      <c r="I27" s="37"/>
      <c r="J27" s="37"/>
    </row>
    <row r="28" spans="1:10">
      <c r="A28" s="21" t="s">
        <v>481</v>
      </c>
      <c r="C28" s="106" t="s">
        <v>204</v>
      </c>
      <c r="E28" s="37">
        <v>100566</v>
      </c>
      <c r="F28" s="37">
        <v>0</v>
      </c>
      <c r="G28" s="102">
        <v>97860.72</v>
      </c>
      <c r="H28" s="37">
        <f>(G28/24)*26</f>
        <v>106015.78</v>
      </c>
      <c r="I28" s="37">
        <v>115000</v>
      </c>
      <c r="J28" s="21"/>
    </row>
    <row r="29" spans="1:10">
      <c r="A29" s="21" t="s">
        <v>482</v>
      </c>
      <c r="C29" s="106" t="s">
        <v>483</v>
      </c>
      <c r="E29" s="37">
        <v>80000</v>
      </c>
      <c r="F29" s="37">
        <v>0</v>
      </c>
      <c r="G29" s="102">
        <v>71195.259999999995</v>
      </c>
      <c r="H29" s="37">
        <f t="shared" ref="H29:H30" si="0">(G29/24)*26</f>
        <v>77128.198333333319</v>
      </c>
      <c r="I29" s="37">
        <v>85000</v>
      </c>
      <c r="J29" s="21"/>
    </row>
    <row r="30" spans="1:10">
      <c r="A30" s="21" t="s">
        <v>484</v>
      </c>
      <c r="C30" s="106" t="s">
        <v>26</v>
      </c>
      <c r="E30" s="37">
        <v>2500</v>
      </c>
      <c r="F30" s="37">
        <v>0</v>
      </c>
      <c r="G30" s="102">
        <v>1960.8</v>
      </c>
      <c r="H30" s="37">
        <f t="shared" si="0"/>
        <v>2124.2000000000003</v>
      </c>
      <c r="I30" s="37">
        <v>2500</v>
      </c>
      <c r="J30" s="21"/>
    </row>
    <row r="31" spans="1:10" s="3" customFormat="1" ht="15.75" thickBot="1">
      <c r="A31" s="18" t="s">
        <v>13</v>
      </c>
      <c r="B31" s="18"/>
      <c r="C31" s="189" t="s">
        <v>820</v>
      </c>
      <c r="D31" s="18"/>
      <c r="E31" s="75">
        <f>SUM(E28:E30)</f>
        <v>183066</v>
      </c>
      <c r="F31" s="75">
        <f t="shared" ref="F31:I31" si="1">SUM(F28:F30)</f>
        <v>0</v>
      </c>
      <c r="G31" s="75">
        <f t="shared" si="1"/>
        <v>171016.77999999997</v>
      </c>
      <c r="H31" s="75">
        <f t="shared" si="1"/>
        <v>185268.17833333334</v>
      </c>
      <c r="I31" s="75">
        <f t="shared" si="1"/>
        <v>202500</v>
      </c>
      <c r="J31" s="18"/>
    </row>
    <row r="32" spans="1:10" ht="15.75" thickTop="1">
      <c r="A32" s="21" t="s">
        <v>13</v>
      </c>
      <c r="C32" s="189" t="s">
        <v>205</v>
      </c>
      <c r="E32" s="37" t="s">
        <v>13</v>
      </c>
      <c r="F32" s="37" t="s">
        <v>13</v>
      </c>
      <c r="G32" s="37" t="s">
        <v>13</v>
      </c>
      <c r="H32" s="37" t="s">
        <v>13</v>
      </c>
      <c r="I32" s="37" t="s">
        <v>13</v>
      </c>
      <c r="J32" s="21"/>
    </row>
    <row r="33" spans="1:10">
      <c r="A33" s="21" t="s">
        <v>226</v>
      </c>
      <c r="C33" s="106" t="s">
        <v>227</v>
      </c>
      <c r="E33" s="37">
        <v>2500</v>
      </c>
      <c r="F33" s="37">
        <v>0</v>
      </c>
      <c r="G33" s="37">
        <v>1838.4</v>
      </c>
      <c r="H33" s="37">
        <f>(G33/11)*12</f>
        <v>2005.5272727272727</v>
      </c>
      <c r="I33" s="37">
        <v>2500</v>
      </c>
      <c r="J33" s="95"/>
    </row>
    <row r="34" spans="1:10">
      <c r="A34" s="21" t="s">
        <v>485</v>
      </c>
      <c r="C34" s="106" t="s">
        <v>215</v>
      </c>
      <c r="E34" s="37">
        <v>14005</v>
      </c>
      <c r="F34" s="37">
        <v>0</v>
      </c>
      <c r="G34" s="102">
        <v>12756.27</v>
      </c>
      <c r="H34" s="37">
        <f>H31*0.0765</f>
        <v>14173.0156425</v>
      </c>
      <c r="I34" s="37">
        <f>I31*0.0765</f>
        <v>15491.25</v>
      </c>
      <c r="J34" s="21"/>
    </row>
    <row r="35" spans="1:10">
      <c r="A35" s="21" t="s">
        <v>486</v>
      </c>
      <c r="C35" s="106" t="s">
        <v>231</v>
      </c>
      <c r="E35" s="37">
        <v>26000</v>
      </c>
      <c r="F35" s="37">
        <v>0</v>
      </c>
      <c r="G35" s="102">
        <v>23011.94</v>
      </c>
      <c r="H35" s="37">
        <f>(G35/11)*12</f>
        <v>25103.934545454547</v>
      </c>
      <c r="I35" s="37">
        <v>26000</v>
      </c>
      <c r="J35" s="21"/>
    </row>
    <row r="36" spans="1:10">
      <c r="A36" s="21" t="s">
        <v>1230</v>
      </c>
      <c r="C36" s="106" t="s">
        <v>1123</v>
      </c>
      <c r="E36" s="37">
        <v>0</v>
      </c>
      <c r="F36" s="37">
        <v>0</v>
      </c>
      <c r="G36" s="102"/>
      <c r="H36" s="37"/>
      <c r="I36" s="37"/>
      <c r="J36" s="21"/>
    </row>
    <row r="37" spans="1:10">
      <c r="A37" s="21" t="s">
        <v>487</v>
      </c>
      <c r="C37" s="106" t="s">
        <v>234</v>
      </c>
      <c r="E37" s="37">
        <v>35000</v>
      </c>
      <c r="F37" s="37">
        <v>0</v>
      </c>
      <c r="G37" s="102">
        <v>21107.66</v>
      </c>
      <c r="H37" s="37">
        <f>(G37/11)*12</f>
        <v>23026.538181818181</v>
      </c>
      <c r="I37" s="37">
        <v>30000</v>
      </c>
      <c r="J37" s="95"/>
    </row>
    <row r="38" spans="1:10" s="3" customFormat="1" ht="15.75" thickBot="1">
      <c r="A38" s="18"/>
      <c r="B38" s="18"/>
      <c r="C38" s="189" t="s">
        <v>821</v>
      </c>
      <c r="D38" s="18"/>
      <c r="E38" s="75">
        <f>SUM(E33:E37)</f>
        <v>77505</v>
      </c>
      <c r="F38" s="75">
        <f t="shared" ref="F38:I38" si="2">SUM(F33:F37)</f>
        <v>0</v>
      </c>
      <c r="G38" s="75">
        <f t="shared" si="2"/>
        <v>58714.270000000004</v>
      </c>
      <c r="H38" s="75">
        <f t="shared" si="2"/>
        <v>64309.015642500002</v>
      </c>
      <c r="I38" s="75">
        <f t="shared" si="2"/>
        <v>73991.25</v>
      </c>
      <c r="J38" s="18"/>
    </row>
    <row r="39" spans="1:10" s="3" customFormat="1" ht="16.5" thickTop="1" thickBot="1">
      <c r="A39" s="18"/>
      <c r="B39" s="18"/>
      <c r="C39" s="18" t="s">
        <v>814</v>
      </c>
      <c r="D39" s="18"/>
      <c r="E39" s="27">
        <f>E31+E38</f>
        <v>260571</v>
      </c>
      <c r="F39" s="27">
        <f>F31+F38</f>
        <v>0</v>
      </c>
      <c r="G39" s="27">
        <f>G31+G38</f>
        <v>229731.05</v>
      </c>
      <c r="H39" s="27">
        <f>H31+H38</f>
        <v>249577.19397583336</v>
      </c>
      <c r="I39" s="27">
        <f>I31+I38</f>
        <v>276491.25</v>
      </c>
      <c r="J39" s="18"/>
    </row>
    <row r="40" spans="1:10" ht="15.75" thickTop="1"/>
    <row r="41" spans="1:10">
      <c r="A41" s="21" t="s">
        <v>13</v>
      </c>
      <c r="C41" s="18" t="s">
        <v>207</v>
      </c>
      <c r="E41" s="37" t="s">
        <v>13</v>
      </c>
      <c r="F41" s="37" t="s">
        <v>13</v>
      </c>
      <c r="G41" s="37" t="s">
        <v>13</v>
      </c>
      <c r="H41" s="37" t="s">
        <v>13</v>
      </c>
      <c r="I41" s="37" t="s">
        <v>13</v>
      </c>
      <c r="J41" s="37"/>
    </row>
    <row r="42" spans="1:10">
      <c r="A42" s="21" t="s">
        <v>1132</v>
      </c>
      <c r="C42" s="70" t="s">
        <v>488</v>
      </c>
      <c r="E42" s="37">
        <v>1000</v>
      </c>
      <c r="F42" s="37">
        <v>0</v>
      </c>
      <c r="G42" s="102">
        <v>363.75</v>
      </c>
      <c r="H42" s="37">
        <f>(G42/11)*12</f>
        <v>396.81818181818187</v>
      </c>
      <c r="I42" s="37">
        <v>800</v>
      </c>
      <c r="J42" s="21"/>
    </row>
    <row r="43" spans="1:10" s="3" customFormat="1" ht="15.75" thickBot="1">
      <c r="A43" s="18" t="s">
        <v>13</v>
      </c>
      <c r="B43" s="18"/>
      <c r="C43" s="18" t="s">
        <v>815</v>
      </c>
      <c r="D43" s="18"/>
      <c r="E43" s="75">
        <f>SUM(E42:E42)</f>
        <v>1000</v>
      </c>
      <c r="F43" s="75">
        <f>SUM(F42:F42)</f>
        <v>0</v>
      </c>
      <c r="G43" s="75">
        <f>SUM(G42:G42)</f>
        <v>363.75</v>
      </c>
      <c r="H43" s="75">
        <f>SUM(H42:H42)</f>
        <v>396.81818181818187</v>
      </c>
      <c r="I43" s="75">
        <f>SUM(I42:I42)</f>
        <v>800</v>
      </c>
      <c r="J43" s="18"/>
    </row>
    <row r="44" spans="1:10" ht="15.75" thickTop="1">
      <c r="E44" s="37"/>
      <c r="F44" s="37"/>
      <c r="G44" s="37"/>
      <c r="H44" s="37"/>
      <c r="I44" s="37"/>
      <c r="J44" s="21"/>
    </row>
    <row r="45" spans="1:10">
      <c r="A45" s="21" t="s">
        <v>13</v>
      </c>
      <c r="C45" s="18" t="s">
        <v>210</v>
      </c>
      <c r="E45" s="37" t="s">
        <v>13</v>
      </c>
      <c r="F45" s="37" t="s">
        <v>13</v>
      </c>
      <c r="G45" s="37" t="s">
        <v>13</v>
      </c>
      <c r="H45" s="37" t="s">
        <v>13</v>
      </c>
      <c r="I45" s="37" t="s">
        <v>13</v>
      </c>
      <c r="J45" s="37"/>
    </row>
    <row r="46" spans="1:10">
      <c r="A46" s="21" t="s">
        <v>1133</v>
      </c>
      <c r="C46" s="70" t="s">
        <v>243</v>
      </c>
      <c r="E46" s="37">
        <v>360</v>
      </c>
      <c r="F46" s="37">
        <v>0</v>
      </c>
      <c r="G46" s="102">
        <v>210</v>
      </c>
      <c r="H46" s="37">
        <f>(G46/11)*12</f>
        <v>229.09090909090907</v>
      </c>
      <c r="I46" s="37">
        <v>360</v>
      </c>
      <c r="J46" s="21"/>
    </row>
    <row r="47" spans="1:10">
      <c r="A47" s="21" t="s">
        <v>1134</v>
      </c>
      <c r="C47" s="70" t="s">
        <v>245</v>
      </c>
      <c r="E47" s="37">
        <v>6000</v>
      </c>
      <c r="F47" s="37">
        <v>0</v>
      </c>
      <c r="G47" s="102">
        <v>4500</v>
      </c>
      <c r="H47" s="37">
        <f t="shared" ref="H47:H55" si="3">(G47/11)*12</f>
        <v>4909.090909090909</v>
      </c>
      <c r="I47" s="37">
        <v>4500</v>
      </c>
      <c r="J47" s="21"/>
    </row>
    <row r="48" spans="1:10">
      <c r="A48" s="21" t="s">
        <v>1135</v>
      </c>
      <c r="C48" s="70" t="s">
        <v>249</v>
      </c>
      <c r="E48" s="37">
        <v>43000</v>
      </c>
      <c r="F48" s="37">
        <v>0</v>
      </c>
      <c r="G48" s="102">
        <v>20746.55</v>
      </c>
      <c r="H48" s="37">
        <f t="shared" si="3"/>
        <v>22632.6</v>
      </c>
      <c r="I48" s="37">
        <v>30000</v>
      </c>
      <c r="J48" s="21"/>
    </row>
    <row r="49" spans="1:10">
      <c r="A49" s="21" t="s">
        <v>797</v>
      </c>
      <c r="C49" s="70" t="s">
        <v>27</v>
      </c>
      <c r="E49" s="37">
        <v>0</v>
      </c>
      <c r="F49" s="37">
        <v>0</v>
      </c>
      <c r="G49" s="102">
        <v>85442.43</v>
      </c>
      <c r="H49" s="37">
        <f t="shared" si="3"/>
        <v>93209.92363636363</v>
      </c>
      <c r="I49" s="37">
        <v>96010</v>
      </c>
      <c r="J49" s="21"/>
    </row>
    <row r="50" spans="1:10">
      <c r="A50" s="21" t="s">
        <v>798</v>
      </c>
      <c r="C50" s="70" t="s">
        <v>1032</v>
      </c>
      <c r="E50" s="37">
        <v>0</v>
      </c>
      <c r="F50" s="37">
        <v>0</v>
      </c>
      <c r="G50" s="102">
        <v>636.19000000000005</v>
      </c>
      <c r="H50" s="37">
        <f t="shared" si="3"/>
        <v>694.02545454545464</v>
      </c>
      <c r="I50" s="37">
        <v>715</v>
      </c>
      <c r="J50" s="21"/>
    </row>
    <row r="51" spans="1:10">
      <c r="A51" s="21" t="s">
        <v>800</v>
      </c>
      <c r="C51" s="70" t="s">
        <v>21</v>
      </c>
      <c r="E51" s="37">
        <v>95000</v>
      </c>
      <c r="F51" s="37">
        <v>0</v>
      </c>
      <c r="G51" s="102">
        <v>0</v>
      </c>
      <c r="H51" s="37">
        <f t="shared" si="3"/>
        <v>0</v>
      </c>
      <c r="I51" s="37">
        <f t="shared" ref="I51" si="4">H51*1.03</f>
        <v>0</v>
      </c>
      <c r="J51" s="21" t="s">
        <v>1307</v>
      </c>
    </row>
    <row r="52" spans="1:10">
      <c r="A52" s="21" t="s">
        <v>912</v>
      </c>
      <c r="C52" s="70" t="s">
        <v>250</v>
      </c>
      <c r="E52" s="37">
        <v>800</v>
      </c>
      <c r="F52" s="37">
        <v>0</v>
      </c>
      <c r="G52" s="102">
        <v>1605.07</v>
      </c>
      <c r="H52" s="37">
        <f t="shared" si="3"/>
        <v>1750.9854545454546</v>
      </c>
      <c r="I52" s="37">
        <v>1545</v>
      </c>
      <c r="J52" s="21"/>
    </row>
    <row r="53" spans="1:10">
      <c r="A53" s="21" t="s">
        <v>1011</v>
      </c>
      <c r="C53" s="70" t="s">
        <v>1012</v>
      </c>
      <c r="E53" s="37">
        <v>0</v>
      </c>
      <c r="F53" s="37">
        <v>0</v>
      </c>
      <c r="G53" s="102">
        <v>2725.06</v>
      </c>
      <c r="H53" s="37">
        <f t="shared" si="3"/>
        <v>2972.792727272727</v>
      </c>
      <c r="I53" s="37">
        <v>2720</v>
      </c>
      <c r="J53" s="21"/>
    </row>
    <row r="54" spans="1:10">
      <c r="A54" s="21" t="s">
        <v>1139</v>
      </c>
      <c r="C54" s="70" t="s">
        <v>494</v>
      </c>
      <c r="E54" s="37">
        <v>15000</v>
      </c>
      <c r="F54" s="37">
        <v>0</v>
      </c>
      <c r="G54" s="102">
        <v>45459.83</v>
      </c>
      <c r="H54" s="37">
        <f t="shared" si="3"/>
        <v>49592.541818181824</v>
      </c>
      <c r="I54" s="37">
        <v>50000</v>
      </c>
      <c r="J54" s="21"/>
    </row>
    <row r="55" spans="1:10">
      <c r="A55" s="21" t="s">
        <v>1141</v>
      </c>
      <c r="C55" s="70" t="s">
        <v>1143</v>
      </c>
      <c r="E55" s="37">
        <v>25000</v>
      </c>
      <c r="F55" s="37">
        <v>0</v>
      </c>
      <c r="G55" s="102">
        <v>34125</v>
      </c>
      <c r="H55" s="37">
        <f t="shared" si="3"/>
        <v>37227.272727272728</v>
      </c>
      <c r="I55" s="37">
        <v>65000</v>
      </c>
      <c r="J55" s="21"/>
    </row>
    <row r="56" spans="1:10" s="3" customFormat="1" ht="15.75" thickBot="1">
      <c r="A56" s="18"/>
      <c r="B56" s="18"/>
      <c r="C56" s="18" t="s">
        <v>816</v>
      </c>
      <c r="D56" s="18"/>
      <c r="E56" s="75">
        <f>SUM(E46:E55)</f>
        <v>185160</v>
      </c>
      <c r="F56" s="75">
        <f t="shared" ref="F56:I56" si="5">SUM(F46:F55)</f>
        <v>0</v>
      </c>
      <c r="G56" s="75">
        <f t="shared" si="5"/>
        <v>195450.13</v>
      </c>
      <c r="H56" s="75">
        <f t="shared" si="5"/>
        <v>213218.32363636364</v>
      </c>
      <c r="I56" s="75">
        <f t="shared" si="5"/>
        <v>250850</v>
      </c>
      <c r="J56" s="18"/>
    </row>
    <row r="57" spans="1:10" ht="15.75" thickTop="1"/>
    <row r="58" spans="1:10">
      <c r="C58" s="18" t="s">
        <v>774</v>
      </c>
    </row>
    <row r="59" spans="1:10">
      <c r="A59" s="21" t="s">
        <v>615</v>
      </c>
      <c r="C59" s="70" t="s">
        <v>616</v>
      </c>
      <c r="E59" s="37">
        <v>1000</v>
      </c>
      <c r="F59" s="37">
        <v>0</v>
      </c>
      <c r="G59" s="102">
        <v>59.6</v>
      </c>
      <c r="H59" s="37">
        <f>(G59/11)*12</f>
        <v>65.018181818181816</v>
      </c>
      <c r="I59" s="37">
        <v>8000</v>
      </c>
      <c r="J59" s="21"/>
    </row>
    <row r="60" spans="1:10">
      <c r="A60" s="21" t="s">
        <v>495</v>
      </c>
      <c r="C60" s="70" t="s">
        <v>496</v>
      </c>
      <c r="E60" s="37">
        <v>4500</v>
      </c>
      <c r="F60" s="37">
        <v>0</v>
      </c>
      <c r="G60" s="102">
        <v>4414.3900000000003</v>
      </c>
      <c r="H60" s="37">
        <f t="shared" ref="H60:H65" si="6">(G60/11)*12</f>
        <v>4815.6981818181821</v>
      </c>
      <c r="I60" s="37">
        <v>5000</v>
      </c>
      <c r="J60" s="21"/>
    </row>
    <row r="61" spans="1:10">
      <c r="A61" s="21" t="s">
        <v>618</v>
      </c>
      <c r="C61" s="70" t="s">
        <v>619</v>
      </c>
      <c r="E61" s="37">
        <v>10500</v>
      </c>
      <c r="F61" s="37">
        <v>0</v>
      </c>
      <c r="G61" s="102">
        <v>7527.48</v>
      </c>
      <c r="H61" s="37">
        <f t="shared" si="6"/>
        <v>8211.7963636363638</v>
      </c>
      <c r="I61" s="37">
        <v>8000</v>
      </c>
      <c r="J61" s="21"/>
    </row>
    <row r="62" spans="1:10">
      <c r="A62" s="21" t="s">
        <v>497</v>
      </c>
      <c r="C62" s="70" t="s">
        <v>1159</v>
      </c>
      <c r="E62" s="37">
        <v>0</v>
      </c>
      <c r="F62" s="37">
        <v>0</v>
      </c>
      <c r="G62" s="102">
        <v>0</v>
      </c>
      <c r="H62" s="37">
        <f t="shared" si="6"/>
        <v>0</v>
      </c>
      <c r="I62" s="37">
        <v>3000</v>
      </c>
      <c r="J62" s="21"/>
    </row>
    <row r="63" spans="1:10">
      <c r="A63" s="21" t="s">
        <v>1145</v>
      </c>
      <c r="C63" s="70" t="s">
        <v>1146</v>
      </c>
      <c r="E63" s="37">
        <v>1000</v>
      </c>
      <c r="F63" s="37">
        <v>0</v>
      </c>
      <c r="G63" s="102">
        <v>543.07000000000005</v>
      </c>
      <c r="H63" s="37">
        <f t="shared" si="6"/>
        <v>592.44000000000005</v>
      </c>
      <c r="I63" s="37">
        <v>1000</v>
      </c>
      <c r="J63" s="21"/>
    </row>
    <row r="64" spans="1:10">
      <c r="A64" s="21" t="s">
        <v>499</v>
      </c>
      <c r="C64" s="70" t="s">
        <v>492</v>
      </c>
      <c r="E64" s="37">
        <v>4500</v>
      </c>
      <c r="F64" s="37">
        <v>0</v>
      </c>
      <c r="G64" s="102">
        <v>2987</v>
      </c>
      <c r="H64" s="37">
        <f t="shared" si="6"/>
        <v>3258.545454545455</v>
      </c>
      <c r="I64" s="37">
        <v>4000</v>
      </c>
      <c r="J64" s="21"/>
    </row>
    <row r="65" spans="1:10">
      <c r="A65" s="21" t="s">
        <v>1160</v>
      </c>
      <c r="C65" s="70" t="s">
        <v>502</v>
      </c>
      <c r="E65" s="37">
        <v>5000</v>
      </c>
      <c r="F65" s="37">
        <v>0</v>
      </c>
      <c r="G65" s="102">
        <v>6882.44</v>
      </c>
      <c r="H65" s="37">
        <f t="shared" si="6"/>
        <v>7508.1163636363635</v>
      </c>
      <c r="I65" s="37">
        <v>1000</v>
      </c>
      <c r="J65" s="21"/>
    </row>
    <row r="66" spans="1:10" s="3" customFormat="1" ht="15.75" thickBot="1">
      <c r="A66" s="18"/>
      <c r="B66" s="18"/>
      <c r="C66" s="18" t="s">
        <v>817</v>
      </c>
      <c r="D66" s="18"/>
      <c r="E66" s="75">
        <f>SUM(E59:E65)</f>
        <v>26500</v>
      </c>
      <c r="F66" s="75">
        <f>SUM(F59:F65)</f>
        <v>0</v>
      </c>
      <c r="G66" s="75">
        <f>SUM(G59:G65)</f>
        <v>22413.98</v>
      </c>
      <c r="H66" s="75">
        <f>SUM(H59:H65)</f>
        <v>24451.614545454548</v>
      </c>
      <c r="I66" s="75">
        <f>SUM(I59:I65)</f>
        <v>30000</v>
      </c>
      <c r="J66" s="18"/>
    </row>
    <row r="67" spans="1:10" ht="15.75" thickTop="1"/>
    <row r="68" spans="1:10">
      <c r="A68" s="21" t="s">
        <v>13</v>
      </c>
      <c r="C68" s="18" t="s">
        <v>223</v>
      </c>
      <c r="E68" s="37" t="s">
        <v>13</v>
      </c>
      <c r="F68" s="37" t="s">
        <v>13</v>
      </c>
      <c r="G68" s="37" t="s">
        <v>13</v>
      </c>
      <c r="H68" s="37" t="s">
        <v>13</v>
      </c>
      <c r="I68" s="37" t="s">
        <v>13</v>
      </c>
      <c r="J68" s="37"/>
    </row>
    <row r="69" spans="1:10">
      <c r="A69" s="21" t="s">
        <v>1213</v>
      </c>
      <c r="C69" s="70" t="s">
        <v>1199</v>
      </c>
      <c r="E69" s="37">
        <v>0</v>
      </c>
      <c r="F69" s="37">
        <v>0</v>
      </c>
      <c r="G69" s="37">
        <v>0</v>
      </c>
      <c r="H69" s="37">
        <v>0</v>
      </c>
      <c r="I69" s="37">
        <v>750</v>
      </c>
      <c r="J69" s="37"/>
    </row>
    <row r="70" spans="1:10">
      <c r="A70" s="21" t="s">
        <v>508</v>
      </c>
      <c r="C70" s="70" t="s">
        <v>1162</v>
      </c>
      <c r="E70" s="37">
        <v>15000</v>
      </c>
      <c r="F70" s="37">
        <v>0</v>
      </c>
      <c r="G70" s="102">
        <v>25961.16</v>
      </c>
      <c r="H70" s="37">
        <f>(G70/11)*12</f>
        <v>28321.265454545453</v>
      </c>
      <c r="I70" s="37">
        <v>25000</v>
      </c>
      <c r="J70" s="21"/>
    </row>
    <row r="71" spans="1:10">
      <c r="A71" s="21" t="s">
        <v>510</v>
      </c>
      <c r="C71" s="70" t="s">
        <v>1163</v>
      </c>
      <c r="E71" s="37">
        <v>500</v>
      </c>
      <c r="F71" s="37">
        <v>0</v>
      </c>
      <c r="G71" s="102">
        <v>251.87</v>
      </c>
      <c r="H71" s="37">
        <f t="shared" ref="H71:H73" si="7">(G71/11)*12</f>
        <v>274.76727272727271</v>
      </c>
      <c r="I71" s="37">
        <v>500</v>
      </c>
      <c r="J71" s="21"/>
    </row>
    <row r="72" spans="1:10">
      <c r="A72" s="21" t="s">
        <v>1033</v>
      </c>
      <c r="C72" s="70" t="s">
        <v>1161</v>
      </c>
      <c r="E72" s="37">
        <v>0</v>
      </c>
      <c r="F72" s="37">
        <v>0</v>
      </c>
      <c r="G72" s="102">
        <v>0</v>
      </c>
      <c r="H72" s="37">
        <f t="shared" si="7"/>
        <v>0</v>
      </c>
      <c r="I72" s="37">
        <v>1650</v>
      </c>
      <c r="J72" s="21"/>
    </row>
    <row r="73" spans="1:10">
      <c r="A73" s="21" t="s">
        <v>1164</v>
      </c>
      <c r="C73" s="70" t="s">
        <v>1165</v>
      </c>
      <c r="E73" s="37">
        <v>30000</v>
      </c>
      <c r="F73" s="37">
        <v>0</v>
      </c>
      <c r="G73" s="102">
        <v>43038.81</v>
      </c>
      <c r="H73" s="37">
        <f t="shared" si="7"/>
        <v>46951.429090909085</v>
      </c>
      <c r="I73" s="37">
        <v>45000</v>
      </c>
      <c r="J73" s="21"/>
    </row>
    <row r="74" spans="1:10" s="3" customFormat="1" ht="15.75" thickBot="1">
      <c r="A74" s="18"/>
      <c r="B74" s="18"/>
      <c r="C74" s="18" t="s">
        <v>930</v>
      </c>
      <c r="D74" s="18"/>
      <c r="E74" s="75">
        <f>SUM(E70:E73)</f>
        <v>45500</v>
      </c>
      <c r="F74" s="75">
        <f t="shared" ref="F74:I74" si="8">SUM(F70:F73)</f>
        <v>0</v>
      </c>
      <c r="G74" s="75">
        <f t="shared" si="8"/>
        <v>69251.839999999997</v>
      </c>
      <c r="H74" s="75">
        <f t="shared" si="8"/>
        <v>75547.461818181808</v>
      </c>
      <c r="I74" s="75">
        <f t="shared" si="8"/>
        <v>72150</v>
      </c>
      <c r="J74" s="18"/>
    </row>
    <row r="75" spans="1:10" ht="15.75" thickTop="1"/>
    <row r="76" spans="1:10">
      <c r="C76" s="18" t="s">
        <v>1157</v>
      </c>
    </row>
    <row r="77" spans="1:10">
      <c r="A77" s="21" t="s">
        <v>1166</v>
      </c>
      <c r="C77" s="70" t="s">
        <v>614</v>
      </c>
      <c r="E77" s="37">
        <v>8000</v>
      </c>
      <c r="F77" s="37">
        <v>0</v>
      </c>
      <c r="G77" s="102">
        <v>4970.05</v>
      </c>
      <c r="H77" s="37">
        <f>(G77/11)*12</f>
        <v>5421.8727272727274</v>
      </c>
      <c r="I77" s="37">
        <v>7000</v>
      </c>
      <c r="J77" s="21"/>
    </row>
    <row r="78" spans="1:10">
      <c r="A78" s="21" t="s">
        <v>1155</v>
      </c>
      <c r="C78" s="70" t="s">
        <v>493</v>
      </c>
      <c r="E78" s="37">
        <v>5000</v>
      </c>
      <c r="F78" s="37">
        <v>0</v>
      </c>
      <c r="G78" s="102">
        <v>4595.8</v>
      </c>
      <c r="H78" s="37">
        <f>(G78/11)*12</f>
        <v>5013.6000000000004</v>
      </c>
      <c r="I78" s="37">
        <v>5500</v>
      </c>
      <c r="J78" s="21"/>
    </row>
    <row r="79" spans="1:10" s="3" customFormat="1" ht="15.75" thickBot="1">
      <c r="A79" s="18"/>
      <c r="B79" s="18"/>
      <c r="C79" s="18" t="s">
        <v>1158</v>
      </c>
      <c r="D79" s="18"/>
      <c r="E79" s="75">
        <f>SUM(E77:E78)</f>
        <v>13000</v>
      </c>
      <c r="F79" s="75">
        <f t="shared" ref="F79:I79" si="9">SUM(F77:F78)</f>
        <v>0</v>
      </c>
      <c r="G79" s="75">
        <f t="shared" si="9"/>
        <v>9565.85</v>
      </c>
      <c r="H79" s="75">
        <f t="shared" si="9"/>
        <v>10435.472727272729</v>
      </c>
      <c r="I79" s="75">
        <f t="shared" si="9"/>
        <v>12500</v>
      </c>
      <c r="J79" s="18"/>
    </row>
    <row r="80" spans="1:10" s="3" customFormat="1" ht="15.75" thickTop="1">
      <c r="A80" s="18"/>
      <c r="B80" s="18"/>
      <c r="C80" s="18"/>
      <c r="D80" s="18"/>
      <c r="E80" s="191"/>
      <c r="F80" s="191"/>
      <c r="G80" s="191"/>
      <c r="H80" s="191"/>
      <c r="I80" s="191"/>
      <c r="J80" s="18"/>
    </row>
    <row r="81" spans="1:10">
      <c r="C81" s="18" t="s">
        <v>32</v>
      </c>
    </row>
    <row r="82" spans="1:10">
      <c r="A82" s="21" t="s">
        <v>620</v>
      </c>
      <c r="C82" s="70" t="s">
        <v>621</v>
      </c>
      <c r="E82" s="37">
        <v>100000</v>
      </c>
      <c r="F82" s="37">
        <v>0</v>
      </c>
      <c r="G82" s="102">
        <v>84049.5</v>
      </c>
      <c r="H82" s="37">
        <f>(G82/11)*12</f>
        <v>91690.363636363632</v>
      </c>
      <c r="I82" s="37">
        <v>120000</v>
      </c>
      <c r="J82" s="21" t="s">
        <v>801</v>
      </c>
    </row>
    <row r="83" spans="1:10">
      <c r="A83" s="21" t="s">
        <v>622</v>
      </c>
      <c r="C83" s="70" t="s">
        <v>623</v>
      </c>
      <c r="E83" s="37">
        <v>10000</v>
      </c>
      <c r="F83" s="37">
        <v>0</v>
      </c>
      <c r="G83" s="37">
        <v>0</v>
      </c>
      <c r="H83" s="37">
        <f>(G83/9)*12</f>
        <v>0</v>
      </c>
      <c r="I83" s="37">
        <v>10000</v>
      </c>
      <c r="J83" s="21"/>
    </row>
    <row r="84" spans="1:10" s="3" customFormat="1" ht="15.75" thickBot="1">
      <c r="A84" s="18"/>
      <c r="B84" s="18"/>
      <c r="C84" s="18" t="s">
        <v>841</v>
      </c>
      <c r="D84" s="18"/>
      <c r="E84" s="75">
        <f>SUM(E82:E83)</f>
        <v>110000</v>
      </c>
      <c r="F84" s="75">
        <f>SUM(F82:F83)</f>
        <v>0</v>
      </c>
      <c r="G84" s="75">
        <f>SUM(G82:G83)</f>
        <v>84049.5</v>
      </c>
      <c r="H84" s="75">
        <f>SUM(H82:H83)</f>
        <v>91690.363636363632</v>
      </c>
      <c r="I84" s="75">
        <f>SUM(I82:I83)</f>
        <v>130000</v>
      </c>
      <c r="J84" s="18"/>
    </row>
    <row r="85" spans="1:10" ht="15.75" thickTop="1"/>
    <row r="86" spans="1:10">
      <c r="C86" s="18" t="s">
        <v>746</v>
      </c>
    </row>
    <row r="87" spans="1:10">
      <c r="A87" s="21" t="s">
        <v>624</v>
      </c>
      <c r="C87" s="70" t="s">
        <v>625</v>
      </c>
      <c r="E87" s="37">
        <v>8680</v>
      </c>
      <c r="F87" s="37">
        <v>0</v>
      </c>
      <c r="G87" s="37">
        <v>2992.77</v>
      </c>
      <c r="H87" s="37">
        <v>8680</v>
      </c>
      <c r="I87" s="37">
        <v>8680</v>
      </c>
      <c r="J87" s="21"/>
    </row>
    <row r="88" spans="1:10">
      <c r="A88" s="21" t="s">
        <v>626</v>
      </c>
      <c r="C88" s="70" t="s">
        <v>627</v>
      </c>
      <c r="E88" s="37">
        <v>77878</v>
      </c>
      <c r="F88" s="37">
        <v>0</v>
      </c>
      <c r="G88" s="37">
        <v>0</v>
      </c>
      <c r="H88" s="37">
        <v>77878</v>
      </c>
      <c r="I88" s="37">
        <v>77878</v>
      </c>
      <c r="J88" s="21"/>
    </row>
    <row r="89" spans="1:10">
      <c r="A89" s="21" t="s">
        <v>1051</v>
      </c>
      <c r="C89" s="70" t="s">
        <v>628</v>
      </c>
      <c r="E89" s="37">
        <v>34888</v>
      </c>
      <c r="F89" s="37">
        <v>0</v>
      </c>
      <c r="G89" s="37">
        <v>0</v>
      </c>
      <c r="H89" s="37">
        <v>34888</v>
      </c>
      <c r="I89" s="37">
        <v>34888</v>
      </c>
      <c r="J89" s="21"/>
    </row>
    <row r="90" spans="1:10">
      <c r="A90" s="21" t="s">
        <v>531</v>
      </c>
      <c r="C90" s="70" t="s">
        <v>532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21"/>
    </row>
    <row r="91" spans="1:10" s="3" customFormat="1" ht="15.75" thickBot="1">
      <c r="A91" s="18"/>
      <c r="B91" s="18"/>
      <c r="C91" s="18" t="s">
        <v>827</v>
      </c>
      <c r="D91" s="18"/>
      <c r="E91" s="75">
        <f t="shared" ref="E91:I91" si="10">SUM(E87:E90)</f>
        <v>121446</v>
      </c>
      <c r="F91" s="75">
        <f t="shared" si="10"/>
        <v>0</v>
      </c>
      <c r="G91" s="75">
        <f t="shared" si="10"/>
        <v>2992.77</v>
      </c>
      <c r="H91" s="75">
        <f t="shared" si="10"/>
        <v>121446</v>
      </c>
      <c r="I91" s="75">
        <f t="shared" si="10"/>
        <v>121446</v>
      </c>
      <c r="J91" s="18"/>
    </row>
    <row r="92" spans="1:10" ht="15.75" thickTop="1">
      <c r="E92" s="190"/>
      <c r="F92" s="190"/>
      <c r="G92" s="190"/>
      <c r="H92" s="190"/>
      <c r="I92" s="190"/>
      <c r="J92" s="21"/>
    </row>
    <row r="93" spans="1:10" s="3" customFormat="1" ht="15.75" thickBot="1">
      <c r="A93" s="206" t="s">
        <v>931</v>
      </c>
      <c r="B93" s="206"/>
      <c r="C93" s="206"/>
      <c r="D93" s="18"/>
      <c r="E93" s="75">
        <f>E39+E43+E56+E66+E74+E79+E84+E91</f>
        <v>763177</v>
      </c>
      <c r="F93" s="75">
        <f>F39+F43+F56+F66+F74+F79+F84+F91</f>
        <v>0</v>
      </c>
      <c r="G93" s="75">
        <f>G39+G43+G56+G66+G74+G79+G84+G91</f>
        <v>613818.87</v>
      </c>
      <c r="H93" s="75">
        <f>H39+H43+H56+H66+H74+H79+H84+H91</f>
        <v>786763.24852128804</v>
      </c>
      <c r="I93" s="75">
        <f>I39+I43+I56+I66+I74+I79+I84+I91</f>
        <v>894237.25</v>
      </c>
      <c r="J93" s="18"/>
    </row>
    <row r="94" spans="1:10" ht="15.75" thickTop="1"/>
  </sheetData>
  <mergeCells count="5">
    <mergeCell ref="A1:I1"/>
    <mergeCell ref="A6:H6"/>
    <mergeCell ref="A21:C21"/>
    <mergeCell ref="A24:I24"/>
    <mergeCell ref="A93:C93"/>
  </mergeCells>
  <printOptions horizontalCentered="1"/>
  <pageMargins left="0.7" right="0.7" top="0.75" bottom="0.75" header="0.3" footer="0.3"/>
  <pageSetup scale="70" fitToHeight="0" orientation="landscape" r:id="rId1"/>
  <headerFooter>
    <oddFooter>&amp;L&amp;D&amp;CWorksheet
Page &amp;P&amp;R&amp;T</oddFooter>
  </headerFooter>
  <rowBreaks count="1" manualBreakCount="1">
    <brk id="2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4"/>
  <sheetViews>
    <sheetView topLeftCell="A31" workbookViewId="0">
      <selection activeCell="H32" sqref="H32"/>
    </sheetView>
  </sheetViews>
  <sheetFormatPr defaultRowHeight="15"/>
  <cols>
    <col min="1" max="1" width="40.7109375" style="21" customWidth="1"/>
    <col min="2" max="7" width="15.7109375" style="81" customWidth="1"/>
    <col min="8" max="8" width="11.42578125" customWidth="1"/>
  </cols>
  <sheetData>
    <row r="1" spans="1:10">
      <c r="A1" s="200" t="s">
        <v>41</v>
      </c>
      <c r="B1" s="200"/>
      <c r="C1" s="200"/>
      <c r="D1" s="200"/>
      <c r="E1" s="200"/>
      <c r="F1" s="200"/>
      <c r="G1" s="200"/>
      <c r="H1" s="84"/>
      <c r="I1" s="84"/>
      <c r="J1" s="84"/>
    </row>
    <row r="2" spans="1:10">
      <c r="A2" s="200" t="s">
        <v>633</v>
      </c>
      <c r="B2" s="200"/>
      <c r="C2" s="200"/>
      <c r="D2" s="200"/>
      <c r="E2" s="200"/>
      <c r="F2" s="200"/>
      <c r="G2" s="200"/>
      <c r="H2" s="84"/>
      <c r="I2" s="84"/>
      <c r="J2" s="84"/>
    </row>
    <row r="3" spans="1:10" ht="7.5" customHeight="1">
      <c r="A3" s="18" t="s">
        <v>13</v>
      </c>
      <c r="B3" s="76" t="s">
        <v>13</v>
      </c>
      <c r="C3" s="76" t="s">
        <v>13</v>
      </c>
      <c r="D3" s="76"/>
      <c r="E3" s="76" t="s">
        <v>13</v>
      </c>
      <c r="F3" s="76" t="s">
        <v>13</v>
      </c>
      <c r="G3" s="76" t="s">
        <v>13</v>
      </c>
      <c r="H3" s="84"/>
      <c r="I3" s="84"/>
      <c r="J3" s="84"/>
    </row>
    <row r="4" spans="1:10">
      <c r="A4" s="18"/>
      <c r="B4" s="46">
        <v>2019</v>
      </c>
      <c r="C4" s="46">
        <v>2020</v>
      </c>
      <c r="D4" s="46">
        <v>2020</v>
      </c>
      <c r="E4" s="39">
        <v>2020</v>
      </c>
      <c r="F4" s="39">
        <v>2020</v>
      </c>
      <c r="G4" s="47" t="s">
        <v>958</v>
      </c>
      <c r="H4" s="84"/>
      <c r="I4" s="84"/>
      <c r="J4" s="84"/>
    </row>
    <row r="5" spans="1:10">
      <c r="A5" s="48" t="s">
        <v>749</v>
      </c>
      <c r="B5" s="49" t="s">
        <v>716</v>
      </c>
      <c r="C5" s="49" t="s">
        <v>747</v>
      </c>
      <c r="D5" s="49" t="s">
        <v>748</v>
      </c>
      <c r="E5" s="49" t="s">
        <v>1048</v>
      </c>
      <c r="F5" s="49" t="s">
        <v>789</v>
      </c>
      <c r="G5" s="50" t="s">
        <v>718</v>
      </c>
      <c r="H5" s="84"/>
      <c r="I5" s="84"/>
      <c r="J5" s="84"/>
    </row>
    <row r="6" spans="1:10">
      <c r="A6" s="18" t="s">
        <v>750</v>
      </c>
      <c r="B6" s="76"/>
      <c r="C6" s="76"/>
      <c r="D6" s="76"/>
      <c r="E6" s="76"/>
      <c r="F6" s="76"/>
      <c r="G6" s="76"/>
      <c r="H6" s="84"/>
      <c r="I6" s="84"/>
      <c r="J6" s="84"/>
    </row>
    <row r="7" spans="1:10">
      <c r="A7" s="70" t="s">
        <v>456</v>
      </c>
      <c r="B7" s="77">
        <v>626927</v>
      </c>
      <c r="C7" s="77">
        <f>'Worksheet - Garbage Fund (022)'!E11</f>
        <v>625000</v>
      </c>
      <c r="D7" s="77">
        <f>'Worksheet - Garbage Fund (022)'!F11</f>
        <v>0</v>
      </c>
      <c r="E7" s="77">
        <f>'Worksheet - Garbage Fund (022)'!G11</f>
        <v>577767.26</v>
      </c>
      <c r="F7" s="77">
        <f>'Worksheet - Garbage Fund (022)'!H11</f>
        <v>630291.55636363639</v>
      </c>
      <c r="G7" s="77">
        <f>'Worksheet - Garbage Fund (022)'!I11</f>
        <v>635300</v>
      </c>
      <c r="H7" s="31"/>
    </row>
    <row r="8" spans="1:10">
      <c r="A8" s="70" t="s">
        <v>459</v>
      </c>
      <c r="B8" s="77">
        <v>7300</v>
      </c>
      <c r="C8" s="77">
        <f>'Worksheet - Garbage Fund (022)'!E18</f>
        <v>17500</v>
      </c>
      <c r="D8" s="77">
        <f>'Worksheet - Garbage Fund (022)'!F18</f>
        <v>0</v>
      </c>
      <c r="E8" s="77">
        <f>'Worksheet - Garbage Fund (022)'!G18</f>
        <v>7220.5</v>
      </c>
      <c r="F8" s="77">
        <f>'Worksheet - Garbage Fund (022)'!H18</f>
        <v>7876.909090909091</v>
      </c>
      <c r="G8" s="77">
        <f>'Worksheet - Garbage Fund (022)'!I18</f>
        <v>20060</v>
      </c>
      <c r="H8" s="31"/>
    </row>
    <row r="9" spans="1:10" ht="15.75" thickBot="1">
      <c r="A9" s="18" t="s">
        <v>4</v>
      </c>
      <c r="B9" s="78">
        <f>SUM(B7:B8)</f>
        <v>634227</v>
      </c>
      <c r="C9" s="78">
        <f t="shared" ref="C9:G9" si="0">SUM(C7:C8)</f>
        <v>642500</v>
      </c>
      <c r="D9" s="78">
        <f t="shared" si="0"/>
        <v>0</v>
      </c>
      <c r="E9" s="78">
        <f t="shared" si="0"/>
        <v>584987.76</v>
      </c>
      <c r="F9" s="78">
        <f t="shared" si="0"/>
        <v>638168.46545454545</v>
      </c>
      <c r="G9" s="78">
        <f t="shared" si="0"/>
        <v>655360</v>
      </c>
      <c r="H9" s="35"/>
    </row>
    <row r="10" spans="1:10" ht="15.75" thickTop="1">
      <c r="A10" s="18"/>
      <c r="B10" s="91"/>
      <c r="C10" s="91"/>
      <c r="D10" s="91"/>
      <c r="E10" s="91"/>
      <c r="F10" s="91"/>
      <c r="G10" s="91"/>
      <c r="H10" s="35"/>
    </row>
    <row r="11" spans="1:10">
      <c r="B11" s="79" t="s">
        <v>13</v>
      </c>
      <c r="C11" s="79" t="s">
        <v>13</v>
      </c>
      <c r="D11" s="79"/>
      <c r="E11" s="79" t="s">
        <v>13</v>
      </c>
      <c r="F11" s="79" t="s">
        <v>13</v>
      </c>
      <c r="G11" s="79" t="s">
        <v>13</v>
      </c>
    </row>
    <row r="12" spans="1:10">
      <c r="A12" s="18" t="s">
        <v>782</v>
      </c>
      <c r="B12" s="79"/>
      <c r="C12" s="79"/>
      <c r="D12" s="79"/>
      <c r="E12" s="79"/>
      <c r="F12" s="79"/>
      <c r="G12" s="79"/>
    </row>
    <row r="13" spans="1:10">
      <c r="A13" s="70" t="s">
        <v>30</v>
      </c>
      <c r="B13" s="77">
        <f>2314.96+106029.29+69600.78+5202.79+12770.88+14966.18+36282.16</f>
        <v>247167.04</v>
      </c>
      <c r="C13" s="77">
        <f>'Worksheet - Garbage Fund (022)'!E38</f>
        <v>250273</v>
      </c>
      <c r="D13" s="77">
        <f>'Worksheet - Garbage Fund (022)'!F38</f>
        <v>0</v>
      </c>
      <c r="E13" s="77">
        <f>'Worksheet - Garbage Fund (022)'!G38</f>
        <v>249455.28000000003</v>
      </c>
      <c r="F13" s="77">
        <f>'Worksheet - Garbage Fund (022)'!H38</f>
        <v>270725.08809318184</v>
      </c>
      <c r="G13" s="77">
        <f>'Worksheet - Garbage Fund (022)'!I38</f>
        <v>294797.25</v>
      </c>
      <c r="H13" s="33"/>
    </row>
    <row r="14" spans="1:10">
      <c r="A14" s="70" t="s">
        <v>207</v>
      </c>
      <c r="B14" s="80">
        <v>840.67</v>
      </c>
      <c r="C14" s="77">
        <f>'Worksheet - Garbage Fund (022)'!E42</f>
        <v>700</v>
      </c>
      <c r="D14" s="77">
        <f>'Worksheet - Garbage Fund (022)'!F42</f>
        <v>0</v>
      </c>
      <c r="E14" s="77">
        <f>'Worksheet - Garbage Fund (022)'!G42</f>
        <v>430.56</v>
      </c>
      <c r="F14" s="77">
        <f>'Worksheet - Garbage Fund (022)'!H42</f>
        <v>469.70181818181817</v>
      </c>
      <c r="G14" s="77">
        <f>'Worksheet - Garbage Fund (022)'!I42</f>
        <v>700</v>
      </c>
      <c r="H14" s="33"/>
    </row>
    <row r="15" spans="1:10">
      <c r="A15" s="70" t="s">
        <v>210</v>
      </c>
      <c r="B15" s="80">
        <f>-22700+6715.5+52361.25+25215.55+0+3634.72+4500+30830.02+255.64+8363.27</f>
        <v>109175.95000000001</v>
      </c>
      <c r="C15" s="77">
        <f>'Worksheet - Garbage Fund (022)'!E54</f>
        <v>137532</v>
      </c>
      <c r="D15" s="77">
        <f>'Worksheet - Garbage Fund (022)'!F54</f>
        <v>0</v>
      </c>
      <c r="E15" s="77">
        <f>'Worksheet - Garbage Fund (022)'!G54</f>
        <v>118496.23</v>
      </c>
      <c r="F15" s="77">
        <f>'Worksheet - Garbage Fund (022)'!H54</f>
        <v>128859.52363636364</v>
      </c>
      <c r="G15" s="77">
        <f>'Worksheet - Garbage Fund (022)'!I54</f>
        <v>131760</v>
      </c>
      <c r="H15" s="33"/>
    </row>
    <row r="16" spans="1:10">
      <c r="A16" s="70" t="s">
        <v>212</v>
      </c>
      <c r="B16" s="80">
        <f>15725.95+578.56+11960.53</f>
        <v>28265.040000000001</v>
      </c>
      <c r="C16" s="77">
        <f>'Worksheet - Garbage Fund (022)'!E61</f>
        <v>41500</v>
      </c>
      <c r="D16" s="77">
        <f>'Worksheet - Garbage Fund (022)'!F61</f>
        <v>0</v>
      </c>
      <c r="E16" s="77">
        <f>'Worksheet - Garbage Fund (022)'!G61</f>
        <v>34218.99</v>
      </c>
      <c r="F16" s="77">
        <f>'Worksheet - Garbage Fund (022)'!H61</f>
        <v>35666.748181818184</v>
      </c>
      <c r="G16" s="77">
        <f>'Worksheet - Garbage Fund (022)'!I61</f>
        <v>46500</v>
      </c>
      <c r="H16" s="33"/>
    </row>
    <row r="17" spans="1:8">
      <c r="A17" s="70" t="s">
        <v>223</v>
      </c>
      <c r="B17" s="80">
        <f>44071.51+0+17638.5+2931</f>
        <v>64641.01</v>
      </c>
      <c r="C17" s="77">
        <f>'Worksheet - Garbage Fund (022)'!E68</f>
        <v>62500</v>
      </c>
      <c r="D17" s="77">
        <f>'Worksheet - Garbage Fund (022)'!F68</f>
        <v>0</v>
      </c>
      <c r="E17" s="77">
        <f>'Worksheet - Garbage Fund (022)'!G68</f>
        <v>45158.92</v>
      </c>
      <c r="F17" s="77">
        <f>'Worksheet - Garbage Fund (022)'!H68</f>
        <v>49264.276363636367</v>
      </c>
      <c r="G17" s="77">
        <f>'Worksheet - Garbage Fund (022)'!I68</f>
        <v>65150</v>
      </c>
      <c r="H17" s="33"/>
    </row>
    <row r="18" spans="1:8">
      <c r="A18" s="70" t="s">
        <v>1114</v>
      </c>
      <c r="B18" s="80">
        <v>0</v>
      </c>
      <c r="C18" s="77">
        <f>'Worksheet - Garbage Fund (022)'!E72</f>
        <v>30000</v>
      </c>
      <c r="D18" s="77">
        <f>'Worksheet - Garbage Fund (022)'!F72</f>
        <v>0</v>
      </c>
      <c r="E18" s="77">
        <f>'Worksheet - Garbage Fund (022)'!G72</f>
        <v>27130.18</v>
      </c>
      <c r="F18" s="77">
        <f>'Worksheet - Garbage Fund (022)'!H72</f>
        <v>29596.560000000001</v>
      </c>
      <c r="G18" s="77">
        <f>'Worksheet - Garbage Fund (022)'!I72</f>
        <v>35000</v>
      </c>
      <c r="H18" s="33"/>
    </row>
    <row r="19" spans="1:8">
      <c r="A19" s="70" t="s">
        <v>694</v>
      </c>
      <c r="B19" s="80">
        <v>27156.97</v>
      </c>
      <c r="C19" s="77">
        <v>0</v>
      </c>
      <c r="D19" s="77">
        <v>0</v>
      </c>
      <c r="E19" s="77">
        <v>0</v>
      </c>
      <c r="F19" s="77">
        <v>28000</v>
      </c>
      <c r="G19" s="77">
        <v>28000</v>
      </c>
      <c r="H19" s="34"/>
    </row>
    <row r="20" spans="1:8">
      <c r="A20" s="70" t="s">
        <v>22</v>
      </c>
      <c r="B20" s="80">
        <v>0</v>
      </c>
      <c r="C20" s="77">
        <f>'Worksheet - Garbage Fund (022)'!E76</f>
        <v>26163</v>
      </c>
      <c r="D20" s="77">
        <f>'Worksheet - Garbage Fund (022)'!F76</f>
        <v>0</v>
      </c>
      <c r="E20" s="77">
        <f>'Worksheet - Garbage Fund (022)'!G76</f>
        <v>500</v>
      </c>
      <c r="F20" s="77">
        <f>'Worksheet - Garbage Fund (022)'!H76</f>
        <v>0</v>
      </c>
      <c r="G20" s="77">
        <f>'Worksheet - Garbage Fund (022)'!I76</f>
        <v>0</v>
      </c>
      <c r="H20" s="33"/>
    </row>
    <row r="21" spans="1:8">
      <c r="A21" s="70" t="s">
        <v>37</v>
      </c>
      <c r="B21" s="80">
        <f>34232+686</f>
        <v>34918</v>
      </c>
      <c r="C21" s="77">
        <f>'Worksheet - Garbage Fund (022)'!E80</f>
        <v>0</v>
      </c>
      <c r="D21" s="77">
        <f>'Worksheet - Garbage Fund (022)'!F80</f>
        <v>0</v>
      </c>
      <c r="E21" s="77">
        <f>'Worksheet - Garbage Fund (022)'!G80</f>
        <v>0</v>
      </c>
      <c r="F21" s="80">
        <f>'Worksheet - Garbage Fund (022)'!H80</f>
        <v>9548.18</v>
      </c>
      <c r="G21" s="80">
        <f>'Worksheet - Garbage Fund (022)'!I80</f>
        <v>54289</v>
      </c>
      <c r="H21" s="33"/>
    </row>
    <row r="22" spans="1:8" ht="15.75" thickBot="1">
      <c r="A22" s="18" t="s">
        <v>5</v>
      </c>
      <c r="B22" s="78">
        <f>SUM(B13:B21)</f>
        <v>512164.68000000005</v>
      </c>
      <c r="C22" s="78">
        <f>SUM(C13:C21)</f>
        <v>548668</v>
      </c>
      <c r="D22" s="78">
        <f t="shared" ref="D22:G22" si="1">SUM(D13:D21)</f>
        <v>0</v>
      </c>
      <c r="E22" s="78">
        <f t="shared" si="1"/>
        <v>475390.16</v>
      </c>
      <c r="F22" s="78">
        <f t="shared" si="1"/>
        <v>552130.07809318195</v>
      </c>
      <c r="G22" s="78">
        <f t="shared" si="1"/>
        <v>656196.25</v>
      </c>
      <c r="H22" s="33"/>
    </row>
    <row r="23" spans="1:8" ht="15.75" thickTop="1"/>
    <row r="24" spans="1:8" s="3" customFormat="1" ht="27" thickBot="1">
      <c r="A24" s="68" t="s">
        <v>752</v>
      </c>
      <c r="B24" s="73">
        <f>B9-B22</f>
        <v>122062.31999999995</v>
      </c>
      <c r="C24" s="73">
        <f>C9-C22</f>
        <v>93832</v>
      </c>
      <c r="D24" s="73"/>
      <c r="E24" s="73">
        <f>E9-E22</f>
        <v>109597.60000000003</v>
      </c>
      <c r="F24" s="73">
        <f>F9-F22</f>
        <v>86038.387361363508</v>
      </c>
      <c r="G24" s="73">
        <f>G9-G22</f>
        <v>-836.25</v>
      </c>
      <c r="H24" s="92"/>
    </row>
    <row r="25" spans="1:8" ht="15.75" thickTop="1">
      <c r="B25" s="58"/>
      <c r="C25" s="58"/>
      <c r="D25" s="58"/>
      <c r="E25" s="58"/>
      <c r="F25" s="58"/>
      <c r="G25" s="58"/>
    </row>
    <row r="26" spans="1:8">
      <c r="A26" s="18" t="s">
        <v>753</v>
      </c>
      <c r="B26" s="58"/>
      <c r="C26" s="58"/>
      <c r="D26" s="58"/>
      <c r="E26" s="58"/>
      <c r="F26" s="58"/>
      <c r="G26" s="58"/>
    </row>
    <row r="27" spans="1:8">
      <c r="A27" s="70" t="s">
        <v>8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8">
      <c r="A28" s="70" t="s">
        <v>9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8">
      <c r="A29" s="70" t="s">
        <v>10</v>
      </c>
      <c r="B29" s="77">
        <v>-100000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5"/>
    </row>
    <row r="30" spans="1:8" s="3" customFormat="1" ht="15.75" thickBot="1">
      <c r="A30" s="18" t="s">
        <v>754</v>
      </c>
      <c r="B30" s="78">
        <f>SUM(B27:B29)</f>
        <v>-100000</v>
      </c>
      <c r="C30" s="78">
        <f>SUM(C27:C29)</f>
        <v>0</v>
      </c>
      <c r="D30" s="78"/>
      <c r="E30" s="78">
        <f>SUM(E27:E29)</f>
        <v>0</v>
      </c>
      <c r="F30" s="78">
        <f>SUM(F27:F29)</f>
        <v>0</v>
      </c>
      <c r="G30" s="78">
        <f>SUM(G27:G29)</f>
        <v>0</v>
      </c>
      <c r="H30" s="16"/>
    </row>
    <row r="31" spans="1:8" ht="15.75" thickTop="1">
      <c r="B31" s="58"/>
      <c r="C31" s="58"/>
      <c r="D31" s="58"/>
      <c r="E31" s="58"/>
      <c r="F31" s="58"/>
      <c r="G31" s="58"/>
    </row>
    <row r="32" spans="1:8" ht="39">
      <c r="A32" s="68" t="s">
        <v>756</v>
      </c>
      <c r="B32" s="91">
        <f>B24+B30</f>
        <v>22062.319999999949</v>
      </c>
      <c r="C32" s="91">
        <f>C24+C30</f>
        <v>93832</v>
      </c>
      <c r="D32" s="91">
        <v>0</v>
      </c>
      <c r="E32" s="91">
        <f>E24+E30</f>
        <v>109597.60000000003</v>
      </c>
      <c r="F32" s="91">
        <f>F24+F30</f>
        <v>86038.387361363508</v>
      </c>
      <c r="G32" s="91">
        <f>G24+G30</f>
        <v>-836.25</v>
      </c>
      <c r="H32" s="5"/>
    </row>
    <row r="33" spans="1:8">
      <c r="A33" s="68" t="s">
        <v>799</v>
      </c>
      <c r="B33" s="105">
        <f>B21-686</f>
        <v>34232</v>
      </c>
      <c r="C33" s="105">
        <f t="shared" ref="C33:D33" si="2">C21</f>
        <v>0</v>
      </c>
      <c r="D33" s="105">
        <f t="shared" si="2"/>
        <v>0</v>
      </c>
      <c r="E33" s="105">
        <f>E20</f>
        <v>500</v>
      </c>
      <c r="F33" s="199">
        <f>F21</f>
        <v>9548.18</v>
      </c>
      <c r="G33" s="199">
        <v>47576</v>
      </c>
    </row>
    <row r="34" spans="1:8" ht="15.75" thickBot="1">
      <c r="A34" s="68"/>
      <c r="B34" s="78">
        <f>SUM(B32:B33)</f>
        <v>56294.319999999949</v>
      </c>
      <c r="C34" s="78">
        <f t="shared" ref="C34:G34" si="3">SUM(C32:C33)</f>
        <v>93832</v>
      </c>
      <c r="D34" s="78">
        <f t="shared" si="3"/>
        <v>0</v>
      </c>
      <c r="E34" s="78">
        <f t="shared" si="3"/>
        <v>110097.60000000003</v>
      </c>
      <c r="F34" s="78">
        <f t="shared" si="3"/>
        <v>95586.567361363501</v>
      </c>
      <c r="G34" s="78">
        <f t="shared" si="3"/>
        <v>46739.75</v>
      </c>
    </row>
    <row r="35" spans="1:8" ht="15.75" thickTop="1">
      <c r="B35" s="58"/>
      <c r="C35" s="58"/>
      <c r="D35" s="58"/>
      <c r="E35" s="58"/>
      <c r="F35" s="58"/>
      <c r="G35" s="58"/>
    </row>
    <row r="36" spans="1:8">
      <c r="A36" s="70" t="s">
        <v>14</v>
      </c>
      <c r="B36" s="77">
        <v>540801.4</v>
      </c>
      <c r="C36" s="77">
        <f>B37</f>
        <v>597095.72</v>
      </c>
      <c r="D36" s="77">
        <v>0</v>
      </c>
      <c r="E36" s="77">
        <f>B37</f>
        <v>597095.72</v>
      </c>
      <c r="F36" s="77">
        <f>B37</f>
        <v>597095.72</v>
      </c>
      <c r="G36" s="77">
        <f>F37</f>
        <v>692682.28736136341</v>
      </c>
      <c r="H36" s="5"/>
    </row>
    <row r="37" spans="1:8" ht="15.75" thickBot="1">
      <c r="A37" s="18" t="s">
        <v>758</v>
      </c>
      <c r="B37" s="78">
        <f>B36+B34</f>
        <v>597095.72</v>
      </c>
      <c r="C37" s="78">
        <f t="shared" ref="C37:G37" si="4">C36+C34</f>
        <v>690927.72</v>
      </c>
      <c r="D37" s="78">
        <f t="shared" si="4"/>
        <v>0</v>
      </c>
      <c r="E37" s="78">
        <f t="shared" si="4"/>
        <v>707193.32000000007</v>
      </c>
      <c r="F37" s="78">
        <f t="shared" si="4"/>
        <v>692682.28736136341</v>
      </c>
      <c r="G37" s="78">
        <f t="shared" si="4"/>
        <v>739422.03736136341</v>
      </c>
      <c r="H37" s="16"/>
    </row>
    <row r="38" spans="1:8" ht="15.75" thickTop="1">
      <c r="B38" s="58"/>
      <c r="C38" s="58"/>
      <c r="D38" s="58"/>
      <c r="E38" s="58"/>
      <c r="F38" s="58"/>
      <c r="G38" s="58"/>
    </row>
    <row r="39" spans="1:8">
      <c r="B39" s="58"/>
      <c r="C39" s="58"/>
      <c r="D39" s="58"/>
      <c r="E39" s="58"/>
      <c r="F39" s="58"/>
      <c r="G39" s="58"/>
    </row>
    <row r="40" spans="1:8">
      <c r="B40" s="58"/>
      <c r="C40" s="58"/>
      <c r="D40" s="58"/>
      <c r="E40" s="58"/>
      <c r="F40" s="58"/>
      <c r="G40" s="58"/>
    </row>
    <row r="41" spans="1:8">
      <c r="A41" s="18" t="s">
        <v>759</v>
      </c>
      <c r="B41" s="58"/>
      <c r="C41" s="58"/>
      <c r="D41" s="58"/>
      <c r="E41" s="58"/>
      <c r="F41" s="58"/>
      <c r="G41" s="58"/>
    </row>
    <row r="42" spans="1:8">
      <c r="A42" s="18"/>
      <c r="B42" s="58"/>
      <c r="C42" s="58"/>
      <c r="D42" s="58"/>
      <c r="E42" s="58"/>
      <c r="F42" s="58"/>
      <c r="G42" s="58"/>
    </row>
    <row r="43" spans="1:8">
      <c r="A43" s="18" t="s">
        <v>760</v>
      </c>
      <c r="B43" s="77"/>
      <c r="C43" s="77"/>
      <c r="D43" s="77"/>
      <c r="E43" s="77"/>
      <c r="F43" s="77"/>
      <c r="G43" s="77"/>
    </row>
    <row r="44" spans="1:8">
      <c r="A44" s="70" t="s">
        <v>16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</row>
    <row r="45" spans="1:8">
      <c r="A45" s="70" t="s">
        <v>17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</row>
    <row r="46" spans="1:8">
      <c r="A46" s="70" t="s">
        <v>692</v>
      </c>
      <c r="B46" s="77">
        <v>137067</v>
      </c>
      <c r="C46" s="77">
        <v>0</v>
      </c>
      <c r="D46" s="77">
        <v>0</v>
      </c>
      <c r="E46" s="77">
        <f>ROUND(137067-E21+E20,-2)</f>
        <v>137600</v>
      </c>
      <c r="F46" s="77">
        <f t="shared" ref="F46:G46" si="5">ROUND(137067-F21+F20,-2)</f>
        <v>127500</v>
      </c>
      <c r="G46" s="77">
        <f t="shared" si="5"/>
        <v>82800</v>
      </c>
    </row>
    <row r="47" spans="1:8">
      <c r="A47" s="70" t="s">
        <v>693</v>
      </c>
      <c r="B47" s="77">
        <v>0</v>
      </c>
      <c r="C47" s="77">
        <v>0</v>
      </c>
      <c r="D47" s="77">
        <f>D9*0.15</f>
        <v>0</v>
      </c>
      <c r="E47" s="77">
        <v>0</v>
      </c>
      <c r="F47" s="77">
        <v>95157</v>
      </c>
      <c r="G47" s="77">
        <v>0</v>
      </c>
    </row>
    <row r="48" spans="1:8" s="3" customFormat="1">
      <c r="A48" s="18" t="s">
        <v>761</v>
      </c>
      <c r="B48" s="89">
        <f t="shared" ref="B48:G48" si="6">SUM(B43:B47)</f>
        <v>137067</v>
      </c>
      <c r="C48" s="89">
        <f t="shared" si="6"/>
        <v>0</v>
      </c>
      <c r="D48" s="89">
        <f t="shared" si="6"/>
        <v>0</v>
      </c>
      <c r="E48" s="89">
        <f t="shared" si="6"/>
        <v>137600</v>
      </c>
      <c r="F48" s="89">
        <f t="shared" si="6"/>
        <v>222657</v>
      </c>
      <c r="G48" s="89">
        <f t="shared" si="6"/>
        <v>82800</v>
      </c>
    </row>
    <row r="49" spans="1:12">
      <c r="B49" s="88"/>
      <c r="C49" s="88"/>
      <c r="D49" s="88"/>
      <c r="E49" s="88"/>
      <c r="F49" s="88"/>
      <c r="G49" s="88"/>
    </row>
    <row r="50" spans="1:12" ht="15.75" thickBot="1">
      <c r="A50" s="18" t="s">
        <v>762</v>
      </c>
      <c r="B50" s="78">
        <f>B37-B48</f>
        <v>460028.72</v>
      </c>
      <c r="C50" s="78">
        <f>C37-C48</f>
        <v>690927.72</v>
      </c>
      <c r="D50" s="78">
        <f t="shared" ref="D50:G50" si="7">D37-D48</f>
        <v>0</v>
      </c>
      <c r="E50" s="78">
        <f t="shared" si="7"/>
        <v>569593.32000000007</v>
      </c>
      <c r="F50" s="78">
        <f t="shared" si="7"/>
        <v>470025.28736136341</v>
      </c>
      <c r="G50" s="78">
        <f t="shared" si="7"/>
        <v>656622.03736136341</v>
      </c>
    </row>
    <row r="51" spans="1:12" ht="15.75" thickTop="1">
      <c r="B51" s="21"/>
      <c r="C51" s="21"/>
      <c r="D51" s="21"/>
      <c r="E51" s="21"/>
      <c r="F51" s="21"/>
      <c r="G51" s="21"/>
    </row>
    <row r="52" spans="1:12">
      <c r="A52" s="66" t="s">
        <v>38</v>
      </c>
      <c r="B52" s="67">
        <f>(B50/B9)</f>
        <v>0.72533764724617522</v>
      </c>
      <c r="C52" s="67">
        <f t="shared" ref="C52:G52" si="8">(C50/C9)</f>
        <v>1.0753738832684825</v>
      </c>
      <c r="D52" s="67">
        <v>0</v>
      </c>
      <c r="E52" s="67">
        <f t="shared" si="8"/>
        <v>0.97368416734052698</v>
      </c>
      <c r="F52" s="67">
        <f t="shared" si="8"/>
        <v>0.73652227084987754</v>
      </c>
      <c r="G52" s="67">
        <f t="shared" si="8"/>
        <v>1.0019257161886039</v>
      </c>
      <c r="H52" s="84"/>
      <c r="I52" s="84"/>
      <c r="J52" s="84"/>
      <c r="K52" s="84"/>
      <c r="L52" s="84"/>
    </row>
    <row r="54" spans="1:12">
      <c r="A54" s="21" t="s">
        <v>13</v>
      </c>
    </row>
  </sheetData>
  <mergeCells count="2">
    <mergeCell ref="A1:G1"/>
    <mergeCell ref="A2:G2"/>
  </mergeCells>
  <pageMargins left="0.75" right="0.75" top="0.5" bottom="1" header="0.3" footer="0.3"/>
  <pageSetup scale="6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83"/>
  <sheetViews>
    <sheetView workbookViewId="0">
      <selection activeCell="H79" sqref="H79"/>
    </sheetView>
  </sheetViews>
  <sheetFormatPr defaultColWidth="8.85546875" defaultRowHeight="15"/>
  <cols>
    <col min="1" max="1" width="10.7109375" style="21" customWidth="1"/>
    <col min="2" max="2" width="5.7109375" style="21" customWidth="1"/>
    <col min="3" max="3" width="35.7109375" style="21" customWidth="1"/>
    <col min="4" max="4" width="5.7109375" style="21" customWidth="1"/>
    <col min="5" max="9" width="15.7109375" style="23" customWidth="1"/>
    <col min="10" max="10" width="32.7109375" style="23" bestFit="1" customWidth="1"/>
    <col min="11" max="11" width="26.28515625" style="21" customWidth="1"/>
    <col min="12" max="12" width="8.85546875" style="21"/>
  </cols>
  <sheetData>
    <row r="1" spans="1:12">
      <c r="A1" s="202" t="s">
        <v>776</v>
      </c>
      <c r="B1" s="202"/>
      <c r="C1" s="202"/>
      <c r="D1" s="202"/>
      <c r="E1" s="202"/>
      <c r="F1" s="202"/>
      <c r="G1" s="202"/>
      <c r="I1" s="21"/>
      <c r="J1" s="21"/>
    </row>
    <row r="2" spans="1:12">
      <c r="A2" s="43"/>
      <c r="B2" s="43"/>
      <c r="C2" s="43"/>
      <c r="D2" s="43"/>
      <c r="E2" s="43"/>
      <c r="F2" s="43"/>
      <c r="G2" s="43"/>
      <c r="I2" s="21"/>
      <c r="J2" s="21"/>
    </row>
    <row r="3" spans="1:12">
      <c r="E3" s="158">
        <v>2020</v>
      </c>
      <c r="F3" s="158">
        <v>2020</v>
      </c>
      <c r="G3" s="39">
        <v>2020</v>
      </c>
      <c r="H3" s="39">
        <v>2020</v>
      </c>
      <c r="I3" s="159" t="s">
        <v>958</v>
      </c>
      <c r="J3" s="187" t="s">
        <v>772</v>
      </c>
    </row>
    <row r="4" spans="1:12">
      <c r="E4" s="162" t="s">
        <v>747</v>
      </c>
      <c r="F4" s="162" t="s">
        <v>748</v>
      </c>
      <c r="G4" s="162" t="s">
        <v>1048</v>
      </c>
      <c r="H4" s="162" t="s">
        <v>789</v>
      </c>
      <c r="I4" s="163" t="s">
        <v>718</v>
      </c>
      <c r="J4" s="18"/>
    </row>
    <row r="5" spans="1:12">
      <c r="A5" s="19"/>
      <c r="B5" s="19"/>
      <c r="C5" s="20"/>
      <c r="D5" s="20"/>
      <c r="E5" s="20"/>
      <c r="F5" s="21"/>
      <c r="G5" s="21"/>
      <c r="H5" s="21"/>
      <c r="I5" s="21"/>
      <c r="J5" s="21"/>
    </row>
    <row r="6" spans="1:12">
      <c r="A6" s="202" t="s">
        <v>777</v>
      </c>
      <c r="B6" s="202"/>
      <c r="C6" s="202"/>
      <c r="D6" s="202"/>
      <c r="E6" s="202"/>
      <c r="F6" s="202"/>
      <c r="G6" s="21"/>
      <c r="H6" s="21"/>
      <c r="I6" s="21"/>
      <c r="J6" s="21"/>
    </row>
    <row r="7" spans="1:12">
      <c r="A7" s="43"/>
      <c r="B7" s="43"/>
      <c r="C7" s="43"/>
      <c r="D7" s="43"/>
      <c r="E7" s="43"/>
      <c r="F7" s="43"/>
      <c r="G7" s="21"/>
      <c r="H7" s="21"/>
      <c r="I7" s="21"/>
      <c r="J7" s="21"/>
    </row>
    <row r="8" spans="1:12">
      <c r="C8" s="18" t="s">
        <v>456</v>
      </c>
    </row>
    <row r="9" spans="1:12">
      <c r="A9" s="21" t="s">
        <v>635</v>
      </c>
      <c r="C9" s="70" t="s">
        <v>634</v>
      </c>
      <c r="E9" s="37">
        <v>625000</v>
      </c>
      <c r="F9" s="37">
        <v>0</v>
      </c>
      <c r="G9" s="37">
        <v>577523.51</v>
      </c>
      <c r="H9" s="37">
        <f>(G9/11)*12</f>
        <v>630025.64727272734</v>
      </c>
      <c r="I9" s="37">
        <v>635000</v>
      </c>
      <c r="J9" s="21"/>
    </row>
    <row r="10" spans="1:12">
      <c r="A10" s="21" t="s">
        <v>636</v>
      </c>
      <c r="C10" s="70" t="s">
        <v>637</v>
      </c>
      <c r="E10" s="37">
        <v>0</v>
      </c>
      <c r="F10" s="37">
        <v>0</v>
      </c>
      <c r="G10" s="37">
        <v>243.75</v>
      </c>
      <c r="H10" s="37">
        <f>(G10/11)*12</f>
        <v>265.90909090909093</v>
      </c>
      <c r="I10" s="37">
        <v>300</v>
      </c>
      <c r="J10" s="21"/>
    </row>
    <row r="11" spans="1:12" s="3" customFormat="1" ht="15.75" thickBot="1">
      <c r="A11" s="18"/>
      <c r="B11" s="18"/>
      <c r="C11" s="18" t="s">
        <v>638</v>
      </c>
      <c r="D11" s="18"/>
      <c r="E11" s="75">
        <f>SUM(E9:E10)</f>
        <v>625000</v>
      </c>
      <c r="F11" s="75">
        <f t="shared" ref="F11:I11" si="0">SUM(F9:F10)</f>
        <v>0</v>
      </c>
      <c r="G11" s="75">
        <f>SUM(G9:G10)</f>
        <v>577767.26</v>
      </c>
      <c r="H11" s="75">
        <f t="shared" si="0"/>
        <v>630291.55636363639</v>
      </c>
      <c r="I11" s="75">
        <f t="shared" si="0"/>
        <v>635300</v>
      </c>
      <c r="J11" s="18"/>
      <c r="K11" s="18"/>
      <c r="L11" s="18"/>
    </row>
    <row r="12" spans="1:12" ht="15.75" thickTop="1">
      <c r="J12" s="21"/>
    </row>
    <row r="13" spans="1:12">
      <c r="C13" s="18" t="s">
        <v>770</v>
      </c>
      <c r="J13" s="21"/>
    </row>
    <row r="14" spans="1:12">
      <c r="A14" s="21" t="s">
        <v>691</v>
      </c>
      <c r="C14" s="70" t="s">
        <v>197</v>
      </c>
      <c r="E14" s="37">
        <v>0</v>
      </c>
      <c r="F14" s="128">
        <v>0</v>
      </c>
      <c r="G14" s="37">
        <v>1245</v>
      </c>
      <c r="H14" s="37">
        <f>(G14/11)*12</f>
        <v>1358.1818181818182</v>
      </c>
      <c r="I14" s="37">
        <v>0</v>
      </c>
      <c r="J14" s="21"/>
    </row>
    <row r="15" spans="1:12">
      <c r="A15" s="21" t="s">
        <v>719</v>
      </c>
      <c r="C15" s="70" t="s">
        <v>720</v>
      </c>
      <c r="E15" s="37">
        <v>0</v>
      </c>
      <c r="F15" s="128">
        <v>0</v>
      </c>
      <c r="G15" s="37">
        <v>0</v>
      </c>
      <c r="H15" s="37">
        <f t="shared" ref="H15:H17" si="1">(G15/11)*12</f>
        <v>0</v>
      </c>
      <c r="I15" s="37">
        <v>0</v>
      </c>
      <c r="J15" s="21"/>
    </row>
    <row r="16" spans="1:12">
      <c r="A16" s="21" t="s">
        <v>642</v>
      </c>
      <c r="C16" s="70" t="s">
        <v>639</v>
      </c>
      <c r="E16" s="37">
        <v>5000</v>
      </c>
      <c r="F16" s="128">
        <v>0</v>
      </c>
      <c r="G16" s="37">
        <v>5975.5</v>
      </c>
      <c r="H16" s="37">
        <f t="shared" si="1"/>
        <v>6518.727272727273</v>
      </c>
      <c r="I16" s="37">
        <v>7560</v>
      </c>
      <c r="J16" s="21"/>
    </row>
    <row r="17" spans="1:12">
      <c r="A17" s="21" t="s">
        <v>640</v>
      </c>
      <c r="C17" s="70" t="s">
        <v>641</v>
      </c>
      <c r="E17" s="37">
        <v>12500</v>
      </c>
      <c r="F17" s="128">
        <v>0</v>
      </c>
      <c r="G17" s="37">
        <v>0</v>
      </c>
      <c r="H17" s="37">
        <f t="shared" si="1"/>
        <v>0</v>
      </c>
      <c r="I17" s="37">
        <v>12500</v>
      </c>
      <c r="J17" s="21"/>
    </row>
    <row r="18" spans="1:12" s="3" customFormat="1" ht="15.75" thickBot="1">
      <c r="A18" s="18"/>
      <c r="B18" s="18"/>
      <c r="C18" s="18" t="s">
        <v>925</v>
      </c>
      <c r="D18" s="18"/>
      <c r="E18" s="75">
        <f>SUM(E14:E17)</f>
        <v>17500</v>
      </c>
      <c r="F18" s="75">
        <f t="shared" ref="F18:I18" si="2">SUM(F14:F17)</f>
        <v>0</v>
      </c>
      <c r="G18" s="75">
        <f t="shared" si="2"/>
        <v>7220.5</v>
      </c>
      <c r="H18" s="75">
        <f t="shared" si="2"/>
        <v>7876.909090909091</v>
      </c>
      <c r="I18" s="75">
        <f t="shared" si="2"/>
        <v>20060</v>
      </c>
      <c r="J18" s="18"/>
      <c r="K18" s="18"/>
      <c r="L18" s="18"/>
    </row>
    <row r="19" spans="1:12" ht="15.75" thickTop="1"/>
    <row r="20" spans="1:12" s="3" customFormat="1" ht="15.75" thickBot="1">
      <c r="A20" s="18" t="s">
        <v>932</v>
      </c>
      <c r="B20" s="18"/>
      <c r="C20" s="18"/>
      <c r="D20" s="18"/>
      <c r="E20" s="27">
        <f>E11+E18</f>
        <v>642500</v>
      </c>
      <c r="F20" s="27">
        <f t="shared" ref="F20:I20" si="3">F11+F18</f>
        <v>0</v>
      </c>
      <c r="G20" s="27">
        <f t="shared" si="3"/>
        <v>584987.76</v>
      </c>
      <c r="H20" s="27">
        <f t="shared" si="3"/>
        <v>638168.46545454545</v>
      </c>
      <c r="I20" s="27">
        <f t="shared" si="3"/>
        <v>655360</v>
      </c>
      <c r="J20" s="18"/>
      <c r="K20" s="18"/>
      <c r="L20" s="18"/>
    </row>
    <row r="21" spans="1:12" ht="15.75" thickTop="1">
      <c r="A21" s="155"/>
      <c r="B21" s="155"/>
      <c r="C21" s="155"/>
      <c r="D21" s="18"/>
      <c r="E21" s="191"/>
      <c r="F21" s="191"/>
      <c r="G21" s="191"/>
      <c r="H21" s="191"/>
      <c r="I21" s="191"/>
      <c r="J21" s="21"/>
    </row>
    <row r="22" spans="1:12">
      <c r="E22" s="188"/>
      <c r="F22" s="188"/>
      <c r="G22" s="188"/>
      <c r="H22" s="188"/>
      <c r="I22" s="188"/>
      <c r="J22" s="188"/>
    </row>
    <row r="23" spans="1:12">
      <c r="A23" s="202" t="s">
        <v>780</v>
      </c>
      <c r="B23" s="202"/>
      <c r="C23" s="202"/>
      <c r="D23" s="202"/>
      <c r="E23" s="202"/>
      <c r="F23" s="202"/>
      <c r="G23" s="202"/>
      <c r="H23" s="202"/>
      <c r="I23" s="202"/>
      <c r="J23" s="21"/>
    </row>
    <row r="24" spans="1:12">
      <c r="A24" s="43"/>
      <c r="B24" s="43"/>
      <c r="C24" s="43"/>
      <c r="D24" s="43"/>
      <c r="E24" s="43"/>
      <c r="F24" s="43"/>
      <c r="G24" s="43"/>
      <c r="H24" s="43"/>
      <c r="I24" s="43"/>
      <c r="J24" s="21"/>
    </row>
    <row r="25" spans="1:12" ht="15" customHeight="1">
      <c r="C25" s="18" t="s">
        <v>30</v>
      </c>
      <c r="E25" s="37"/>
      <c r="F25" s="37"/>
      <c r="G25" s="37"/>
      <c r="H25" s="37"/>
      <c r="I25" s="37"/>
      <c r="J25" s="37"/>
    </row>
    <row r="26" spans="1:12" ht="15" customHeight="1">
      <c r="C26" s="189" t="s">
        <v>204</v>
      </c>
      <c r="E26" s="37"/>
      <c r="F26" s="37"/>
      <c r="G26" s="37"/>
      <c r="H26" s="37"/>
      <c r="I26" s="37"/>
      <c r="J26" s="21"/>
      <c r="L26"/>
    </row>
    <row r="27" spans="1:12">
      <c r="A27" s="19" t="s">
        <v>481</v>
      </c>
      <c r="B27" s="19"/>
      <c r="C27" s="107" t="s">
        <v>204</v>
      </c>
      <c r="D27" s="19"/>
      <c r="E27" s="93">
        <v>102000</v>
      </c>
      <c r="F27" s="93">
        <v>0</v>
      </c>
      <c r="G27" s="36">
        <v>103000.49</v>
      </c>
      <c r="H27" s="37">
        <f>(G27/24)*26</f>
        <v>111583.86416666667</v>
      </c>
      <c r="I27" s="108">
        <v>115000</v>
      </c>
      <c r="J27" s="19" t="s">
        <v>13</v>
      </c>
      <c r="L27"/>
    </row>
    <row r="28" spans="1:12">
      <c r="A28" s="19" t="s">
        <v>482</v>
      </c>
      <c r="B28" s="19"/>
      <c r="C28" s="107" t="s">
        <v>483</v>
      </c>
      <c r="D28" s="19"/>
      <c r="E28" s="93">
        <v>65000</v>
      </c>
      <c r="F28" s="93">
        <v>0</v>
      </c>
      <c r="G28" s="36">
        <v>69058.399999999994</v>
      </c>
      <c r="H28" s="37">
        <f t="shared" ref="H28:H29" si="4">(G28/24)*26</f>
        <v>74813.266666666663</v>
      </c>
      <c r="I28" s="108">
        <v>85000</v>
      </c>
      <c r="J28" s="19" t="s">
        <v>13</v>
      </c>
      <c r="L28"/>
    </row>
    <row r="29" spans="1:12">
      <c r="A29" s="19" t="s">
        <v>484</v>
      </c>
      <c r="B29" s="19"/>
      <c r="C29" s="107" t="s">
        <v>26</v>
      </c>
      <c r="D29" s="19"/>
      <c r="E29" s="93">
        <v>6500</v>
      </c>
      <c r="F29" s="93">
        <v>0</v>
      </c>
      <c r="G29" s="36">
        <v>2036.51</v>
      </c>
      <c r="H29" s="37">
        <f t="shared" si="4"/>
        <v>2206.2191666666668</v>
      </c>
      <c r="I29" s="108">
        <v>6500</v>
      </c>
      <c r="J29" s="19" t="s">
        <v>13</v>
      </c>
      <c r="L29"/>
    </row>
    <row r="30" spans="1:12" s="3" customFormat="1" ht="15.75" thickBot="1">
      <c r="A30" s="41"/>
      <c r="B30" s="41"/>
      <c r="C30" s="41" t="s">
        <v>820</v>
      </c>
      <c r="D30" s="41"/>
      <c r="E30" s="167">
        <f>SUM(E27:E29)</f>
        <v>173500</v>
      </c>
      <c r="F30" s="167">
        <f t="shared" ref="F30:I30" si="5">SUM(F27:F29)</f>
        <v>0</v>
      </c>
      <c r="G30" s="167">
        <f t="shared" si="5"/>
        <v>174095.40000000002</v>
      </c>
      <c r="H30" s="167">
        <f t="shared" si="5"/>
        <v>188603.35</v>
      </c>
      <c r="I30" s="167">
        <f t="shared" si="5"/>
        <v>206500</v>
      </c>
      <c r="J30" s="18"/>
      <c r="K30" s="18"/>
    </row>
    <row r="31" spans="1:12" ht="15.75" thickTop="1">
      <c r="C31" s="189" t="s">
        <v>205</v>
      </c>
      <c r="J31" s="21"/>
      <c r="L31"/>
    </row>
    <row r="32" spans="1:12">
      <c r="A32" s="19" t="s">
        <v>226</v>
      </c>
      <c r="B32" s="19"/>
      <c r="C32" s="107" t="s">
        <v>227</v>
      </c>
      <c r="D32" s="19"/>
      <c r="E32" s="32">
        <v>2500</v>
      </c>
      <c r="F32" s="32">
        <v>0</v>
      </c>
      <c r="G32" s="32">
        <v>1853.22</v>
      </c>
      <c r="H32" s="37">
        <f>(G32/11)*12</f>
        <v>2021.6945454545453</v>
      </c>
      <c r="I32" s="32">
        <v>2500</v>
      </c>
      <c r="J32" s="95"/>
      <c r="L32"/>
    </row>
    <row r="33" spans="1:12">
      <c r="A33" s="19" t="s">
        <v>485</v>
      </c>
      <c r="B33" s="19"/>
      <c r="C33" s="107" t="s">
        <v>215</v>
      </c>
      <c r="D33" s="19"/>
      <c r="E33" s="32">
        <v>13273</v>
      </c>
      <c r="F33" s="32">
        <v>0</v>
      </c>
      <c r="G33" s="36">
        <v>13307.43</v>
      </c>
      <c r="H33" s="32">
        <f>H30*0.0765</f>
        <v>14428.156274999999</v>
      </c>
      <c r="I33" s="32">
        <f>I30*0.0765</f>
        <v>15797.25</v>
      </c>
      <c r="J33" s="21"/>
      <c r="L33"/>
    </row>
    <row r="34" spans="1:12">
      <c r="A34" s="19" t="s">
        <v>486</v>
      </c>
      <c r="B34" s="19"/>
      <c r="C34" s="107" t="s">
        <v>231</v>
      </c>
      <c r="D34" s="19"/>
      <c r="E34" s="32">
        <v>26000</v>
      </c>
      <c r="F34" s="32">
        <v>0</v>
      </c>
      <c r="G34" s="36">
        <v>30682.59</v>
      </c>
      <c r="H34" s="37">
        <f>(G34/11)*12</f>
        <v>33471.916363636366</v>
      </c>
      <c r="I34" s="32">
        <v>40000</v>
      </c>
      <c r="J34" s="21"/>
      <c r="L34"/>
    </row>
    <row r="35" spans="1:12">
      <c r="A35" s="19" t="s">
        <v>1230</v>
      </c>
      <c r="B35" s="19"/>
      <c r="C35" s="107" t="s">
        <v>1219</v>
      </c>
      <c r="D35" s="19"/>
      <c r="E35" s="32">
        <v>0</v>
      </c>
      <c r="F35" s="32">
        <v>0</v>
      </c>
      <c r="G35" s="36"/>
      <c r="H35" s="37"/>
      <c r="I35" s="32"/>
      <c r="J35" s="21"/>
      <c r="L35"/>
    </row>
    <row r="36" spans="1:12">
      <c r="A36" s="19" t="s">
        <v>487</v>
      </c>
      <c r="B36" s="19"/>
      <c r="C36" s="107" t="s">
        <v>234</v>
      </c>
      <c r="D36" s="19"/>
      <c r="E36" s="32">
        <v>35000</v>
      </c>
      <c r="F36" s="32">
        <v>0</v>
      </c>
      <c r="G36" s="36">
        <v>29516.639999999999</v>
      </c>
      <c r="H36" s="37">
        <f>(G36/11)*12</f>
        <v>32199.970909090909</v>
      </c>
      <c r="I36" s="32">
        <v>30000</v>
      </c>
      <c r="J36" s="21"/>
      <c r="L36"/>
    </row>
    <row r="37" spans="1:12" ht="15.75" thickBot="1">
      <c r="A37" s="19"/>
      <c r="B37" s="19"/>
      <c r="C37" s="192" t="s">
        <v>821</v>
      </c>
      <c r="D37" s="19"/>
      <c r="E37" s="172">
        <f>SUM(E32:E36)</f>
        <v>76773</v>
      </c>
      <c r="F37" s="172"/>
      <c r="G37" s="172">
        <f>SUM(G32:G36)</f>
        <v>75359.88</v>
      </c>
      <c r="H37" s="172">
        <f>SUM(H32:H36)</f>
        <v>82121.738093181819</v>
      </c>
      <c r="I37" s="172">
        <f>SUM(I32:I36)</f>
        <v>88297.25</v>
      </c>
      <c r="J37" s="21"/>
      <c r="L37"/>
    </row>
    <row r="38" spans="1:12" s="3" customFormat="1" ht="16.5" thickTop="1" thickBot="1">
      <c r="A38" s="18"/>
      <c r="B38" s="18" t="s">
        <v>13</v>
      </c>
      <c r="C38" s="41" t="s">
        <v>814</v>
      </c>
      <c r="D38" s="18"/>
      <c r="E38" s="27">
        <f>E30+E37</f>
        <v>250273</v>
      </c>
      <c r="F38" s="27">
        <f>F30+F37</f>
        <v>0</v>
      </c>
      <c r="G38" s="27">
        <f>G30+G37</f>
        <v>249455.28000000003</v>
      </c>
      <c r="H38" s="27">
        <f>H30+H37</f>
        <v>270725.08809318184</v>
      </c>
      <c r="I38" s="27">
        <f>I30+I37</f>
        <v>294797.25</v>
      </c>
      <c r="J38" s="18"/>
      <c r="K38" s="18"/>
    </row>
    <row r="39" spans="1:12" ht="15.75" thickTop="1"/>
    <row r="40" spans="1:12">
      <c r="C40" s="18" t="s">
        <v>207</v>
      </c>
    </row>
    <row r="41" spans="1:12">
      <c r="A41" s="19" t="s">
        <v>1132</v>
      </c>
      <c r="B41" s="19"/>
      <c r="C41" s="69" t="s">
        <v>488</v>
      </c>
      <c r="D41" s="19"/>
      <c r="E41" s="32">
        <v>700</v>
      </c>
      <c r="F41" s="32">
        <v>0</v>
      </c>
      <c r="G41" s="32">
        <v>430.56</v>
      </c>
      <c r="H41" s="37">
        <f>(G41/11)*12</f>
        <v>469.70181818181817</v>
      </c>
      <c r="I41" s="32">
        <v>700</v>
      </c>
      <c r="J41" s="21"/>
      <c r="L41"/>
    </row>
    <row r="42" spans="1:12" s="3" customFormat="1" ht="15.75" thickBot="1">
      <c r="A42" s="19"/>
      <c r="B42" s="41"/>
      <c r="C42" s="41" t="s">
        <v>815</v>
      </c>
      <c r="D42" s="41"/>
      <c r="E42" s="167">
        <f>SUM(E41:E41)</f>
        <v>700</v>
      </c>
      <c r="F42" s="167">
        <f t="shared" ref="F42:I42" si="6">SUM(F41:F41)</f>
        <v>0</v>
      </c>
      <c r="G42" s="167">
        <f t="shared" si="6"/>
        <v>430.56</v>
      </c>
      <c r="H42" s="167">
        <f t="shared" si="6"/>
        <v>469.70181818181817</v>
      </c>
      <c r="I42" s="167">
        <f t="shared" si="6"/>
        <v>700</v>
      </c>
      <c r="J42" s="18"/>
      <c r="K42" s="18"/>
    </row>
    <row r="43" spans="1:12" ht="15.75" thickTop="1">
      <c r="A43" s="19"/>
      <c r="B43" s="19"/>
      <c r="C43" s="19"/>
      <c r="D43" s="19"/>
      <c r="E43" s="82"/>
      <c r="F43" s="82"/>
      <c r="G43" s="82"/>
      <c r="H43" s="82"/>
      <c r="I43" s="82"/>
      <c r="J43" s="82"/>
    </row>
    <row r="44" spans="1:12">
      <c r="A44" s="19"/>
      <c r="C44" s="18" t="s">
        <v>745</v>
      </c>
    </row>
    <row r="45" spans="1:12">
      <c r="A45" s="19" t="s">
        <v>1134</v>
      </c>
      <c r="B45" s="19"/>
      <c r="C45" s="69" t="s">
        <v>245</v>
      </c>
      <c r="D45" s="19"/>
      <c r="E45" s="32">
        <v>5000</v>
      </c>
      <c r="F45" s="32">
        <v>0</v>
      </c>
      <c r="G45" s="36">
        <v>4500</v>
      </c>
      <c r="H45" s="37">
        <v>4500</v>
      </c>
      <c r="I45" s="32">
        <v>4500</v>
      </c>
      <c r="J45" s="19"/>
      <c r="L45"/>
    </row>
    <row r="46" spans="1:12">
      <c r="A46" s="19" t="s">
        <v>1135</v>
      </c>
      <c r="B46" s="19"/>
      <c r="C46" s="69" t="s">
        <v>249</v>
      </c>
      <c r="D46" s="19"/>
      <c r="E46" s="32">
        <v>43532</v>
      </c>
      <c r="F46" s="32">
        <v>0</v>
      </c>
      <c r="G46" s="36">
        <v>31811.41</v>
      </c>
      <c r="H46" s="37">
        <f>(G46/11)*12</f>
        <v>34703.356363636361</v>
      </c>
      <c r="I46" s="32">
        <v>45000</v>
      </c>
      <c r="J46" s="19"/>
      <c r="L46"/>
    </row>
    <row r="47" spans="1:12">
      <c r="A47" s="19" t="s">
        <v>797</v>
      </c>
      <c r="B47" s="19"/>
      <c r="C47" s="69" t="s">
        <v>27</v>
      </c>
      <c r="D47" s="19"/>
      <c r="E47" s="32">
        <v>0</v>
      </c>
      <c r="F47" s="32">
        <v>0</v>
      </c>
      <c r="G47" s="36">
        <v>1624.77</v>
      </c>
      <c r="H47" s="37">
        <f t="shared" ref="H47:H53" si="7">(G47/11)*12</f>
        <v>1772.4763636363637</v>
      </c>
      <c r="I47" s="32">
        <v>1830</v>
      </c>
      <c r="J47" s="19" t="s">
        <v>13</v>
      </c>
      <c r="L47"/>
    </row>
    <row r="48" spans="1:12">
      <c r="A48" s="19" t="s">
        <v>798</v>
      </c>
      <c r="B48" s="19"/>
      <c r="C48" s="69" t="s">
        <v>1032</v>
      </c>
      <c r="D48" s="19"/>
      <c r="E48" s="32">
        <v>0</v>
      </c>
      <c r="F48" s="32">
        <v>0</v>
      </c>
      <c r="G48" s="36">
        <v>636.17999999999995</v>
      </c>
      <c r="H48" s="37">
        <f t="shared" si="7"/>
        <v>694.01454545454544</v>
      </c>
      <c r="I48" s="32">
        <v>715</v>
      </c>
      <c r="J48" s="19"/>
      <c r="L48"/>
    </row>
    <row r="49" spans="1:12">
      <c r="A49" s="19" t="s">
        <v>643</v>
      </c>
      <c r="B49" s="19"/>
      <c r="C49" s="69" t="s">
        <v>644</v>
      </c>
      <c r="D49" s="19"/>
      <c r="E49" s="32">
        <v>5000</v>
      </c>
      <c r="F49" s="32">
        <v>0</v>
      </c>
      <c r="G49" s="36">
        <v>6643</v>
      </c>
      <c r="H49" s="37">
        <f t="shared" si="7"/>
        <v>7246.9090909090901</v>
      </c>
      <c r="I49" s="32">
        <v>7020</v>
      </c>
      <c r="J49" s="19"/>
      <c r="L49"/>
    </row>
    <row r="50" spans="1:12">
      <c r="A50" s="19" t="s">
        <v>645</v>
      </c>
      <c r="B50" s="19"/>
      <c r="C50" s="69" t="s">
        <v>646</v>
      </c>
      <c r="D50" s="19"/>
      <c r="E50" s="32">
        <v>75000</v>
      </c>
      <c r="F50" s="32">
        <v>0</v>
      </c>
      <c r="G50" s="36">
        <v>55747.5</v>
      </c>
      <c r="H50" s="37">
        <f t="shared" si="7"/>
        <v>60815.454545454544</v>
      </c>
      <c r="I50" s="32">
        <v>60000</v>
      </c>
      <c r="J50" s="19" t="s">
        <v>13</v>
      </c>
      <c r="L50"/>
    </row>
    <row r="51" spans="1:12">
      <c r="A51" s="19" t="s">
        <v>912</v>
      </c>
      <c r="B51" s="19"/>
      <c r="C51" s="69" t="s">
        <v>250</v>
      </c>
      <c r="D51" s="19"/>
      <c r="E51" s="32">
        <v>0</v>
      </c>
      <c r="F51" s="32">
        <v>0</v>
      </c>
      <c r="G51" s="36">
        <v>1230.4000000000001</v>
      </c>
      <c r="H51" s="37">
        <f t="shared" si="7"/>
        <v>1342.2545454545455</v>
      </c>
      <c r="I51" s="32">
        <v>975</v>
      </c>
      <c r="J51" s="19"/>
      <c r="L51"/>
    </row>
    <row r="52" spans="1:12">
      <c r="A52" s="19" t="s">
        <v>1011</v>
      </c>
      <c r="B52" s="19"/>
      <c r="C52" s="69" t="s">
        <v>266</v>
      </c>
      <c r="D52" s="19"/>
      <c r="E52" s="32">
        <v>0</v>
      </c>
      <c r="F52" s="32">
        <v>0</v>
      </c>
      <c r="G52" s="36">
        <v>2725.23</v>
      </c>
      <c r="H52" s="37">
        <f t="shared" si="7"/>
        <v>2972.9781818181818</v>
      </c>
      <c r="I52" s="32">
        <v>2720</v>
      </c>
      <c r="J52" s="19"/>
      <c r="L52"/>
    </row>
    <row r="53" spans="1:12">
      <c r="A53" s="19" t="s">
        <v>1139</v>
      </c>
      <c r="B53" s="19"/>
      <c r="C53" s="69" t="s">
        <v>494</v>
      </c>
      <c r="D53" s="19"/>
      <c r="E53" s="32">
        <v>9000</v>
      </c>
      <c r="F53" s="32">
        <v>0</v>
      </c>
      <c r="G53" s="36">
        <v>13577.74</v>
      </c>
      <c r="H53" s="37">
        <f t="shared" si="7"/>
        <v>14812.079999999998</v>
      </c>
      <c r="I53" s="32">
        <v>9000</v>
      </c>
      <c r="J53" s="19" t="s">
        <v>13</v>
      </c>
      <c r="L53"/>
    </row>
    <row r="54" spans="1:12" s="3" customFormat="1" ht="15.75" thickBot="1">
      <c r="A54" s="41"/>
      <c r="B54" s="41"/>
      <c r="C54" s="41" t="s">
        <v>816</v>
      </c>
      <c r="D54" s="41"/>
      <c r="E54" s="167">
        <f>SUM(E45:E53)</f>
        <v>137532</v>
      </c>
      <c r="F54" s="167">
        <f>SUM(F45:F53)</f>
        <v>0</v>
      </c>
      <c r="G54" s="167">
        <f>SUM(G45:G53)</f>
        <v>118496.23</v>
      </c>
      <c r="H54" s="167">
        <f>SUM(H45:H53)</f>
        <v>128859.52363636364</v>
      </c>
      <c r="I54" s="167">
        <f>SUM(I45:I53)</f>
        <v>131760</v>
      </c>
      <c r="J54" s="41"/>
      <c r="K54" s="18"/>
    </row>
    <row r="55" spans="1:12" ht="15.75" thickTop="1"/>
    <row r="56" spans="1:12">
      <c r="C56" s="18" t="s">
        <v>774</v>
      </c>
    </row>
    <row r="57" spans="1:12">
      <c r="A57" s="19" t="s">
        <v>617</v>
      </c>
      <c r="B57" s="19"/>
      <c r="C57" s="69" t="s">
        <v>648</v>
      </c>
      <c r="D57" s="19"/>
      <c r="E57" s="32">
        <v>25000</v>
      </c>
      <c r="F57" s="32">
        <v>0</v>
      </c>
      <c r="G57" s="36">
        <v>25617.25</v>
      </c>
      <c r="H57" s="37">
        <v>25617.25</v>
      </c>
      <c r="I57" s="32">
        <v>30000</v>
      </c>
      <c r="J57" s="21"/>
      <c r="L57"/>
    </row>
    <row r="58" spans="1:12">
      <c r="A58" s="19" t="s">
        <v>497</v>
      </c>
      <c r="B58" s="19"/>
      <c r="C58" s="69" t="s">
        <v>942</v>
      </c>
      <c r="D58" s="19"/>
      <c r="E58" s="32">
        <v>500</v>
      </c>
      <c r="F58" s="32">
        <v>0</v>
      </c>
      <c r="G58" s="36">
        <v>525.83000000000004</v>
      </c>
      <c r="H58" s="37">
        <f t="shared" ref="H58:H60" si="8">(G58/11)*12</f>
        <v>573.63272727272727</v>
      </c>
      <c r="I58" s="32">
        <v>500</v>
      </c>
      <c r="J58" s="21" t="s">
        <v>13</v>
      </c>
      <c r="L58"/>
    </row>
    <row r="59" spans="1:12">
      <c r="A59" s="19" t="s">
        <v>499</v>
      </c>
      <c r="B59" s="19"/>
      <c r="C59" s="69" t="s">
        <v>492</v>
      </c>
      <c r="D59" s="19"/>
      <c r="E59" s="32">
        <v>3500</v>
      </c>
      <c r="F59" s="32">
        <v>0</v>
      </c>
      <c r="G59" s="36">
        <v>2746.35</v>
      </c>
      <c r="H59" s="37">
        <f>(G59/9)*12</f>
        <v>3661.7999999999997</v>
      </c>
      <c r="I59" s="32">
        <v>3500</v>
      </c>
      <c r="J59" s="19" t="s">
        <v>13</v>
      </c>
      <c r="L59"/>
    </row>
    <row r="60" spans="1:12">
      <c r="A60" s="19" t="s">
        <v>1160</v>
      </c>
      <c r="B60" s="19"/>
      <c r="C60" s="69" t="s">
        <v>273</v>
      </c>
      <c r="D60" s="19"/>
      <c r="E60" s="32">
        <v>12500</v>
      </c>
      <c r="F60" s="32">
        <v>0</v>
      </c>
      <c r="G60" s="36">
        <v>5329.56</v>
      </c>
      <c r="H60" s="37">
        <f t="shared" si="8"/>
        <v>5814.0654545454554</v>
      </c>
      <c r="I60" s="32">
        <v>12500</v>
      </c>
      <c r="J60" s="21"/>
      <c r="L60"/>
    </row>
    <row r="61" spans="1:12" s="3" customFormat="1" ht="15.75" thickBot="1">
      <c r="A61" s="41"/>
      <c r="B61" s="41"/>
      <c r="C61" s="41" t="s">
        <v>817</v>
      </c>
      <c r="D61" s="41"/>
      <c r="E61" s="167">
        <f>SUM(E57:E60)</f>
        <v>41500</v>
      </c>
      <c r="F61" s="167">
        <f t="shared" ref="F61:I61" si="9">SUM(F57:F60)</f>
        <v>0</v>
      </c>
      <c r="G61" s="167">
        <f t="shared" si="9"/>
        <v>34218.99</v>
      </c>
      <c r="H61" s="167">
        <f t="shared" si="9"/>
        <v>35666.748181818184</v>
      </c>
      <c r="I61" s="167">
        <f t="shared" si="9"/>
        <v>46500</v>
      </c>
      <c r="J61" s="18"/>
      <c r="K61" s="18"/>
    </row>
    <row r="62" spans="1:12" ht="15.75" thickTop="1">
      <c r="J62" s="21"/>
      <c r="L62"/>
    </row>
    <row r="63" spans="1:12">
      <c r="C63" s="18" t="s">
        <v>781</v>
      </c>
      <c r="J63" s="21"/>
      <c r="L63"/>
    </row>
    <row r="64" spans="1:12">
      <c r="A64" s="21" t="s">
        <v>507</v>
      </c>
      <c r="C64" s="69" t="s">
        <v>1199</v>
      </c>
      <c r="E64" s="32">
        <v>0</v>
      </c>
      <c r="F64" s="32">
        <v>0</v>
      </c>
      <c r="G64" s="36">
        <v>0</v>
      </c>
      <c r="H64" s="37">
        <v>0</v>
      </c>
      <c r="I64" s="32">
        <v>1000</v>
      </c>
      <c r="J64" s="21"/>
      <c r="L64"/>
    </row>
    <row r="65" spans="1:12">
      <c r="A65" s="19" t="s">
        <v>508</v>
      </c>
      <c r="B65" s="19"/>
      <c r="C65" s="69" t="s">
        <v>1162</v>
      </c>
      <c r="D65" s="19"/>
      <c r="E65" s="32">
        <v>50000</v>
      </c>
      <c r="F65" s="32">
        <v>0</v>
      </c>
      <c r="G65" s="36">
        <v>36208.92</v>
      </c>
      <c r="H65" s="37">
        <f>(G65/11)*12</f>
        <v>39500.639999999999</v>
      </c>
      <c r="I65" s="32">
        <v>50000</v>
      </c>
      <c r="J65" s="21"/>
      <c r="L65"/>
    </row>
    <row r="66" spans="1:12">
      <c r="A66" s="19" t="s">
        <v>1033</v>
      </c>
      <c r="B66" s="19"/>
      <c r="C66" s="69" t="s">
        <v>1170</v>
      </c>
      <c r="D66" s="19"/>
      <c r="E66" s="32">
        <v>0</v>
      </c>
      <c r="F66" s="32">
        <v>0</v>
      </c>
      <c r="G66" s="36">
        <v>0</v>
      </c>
      <c r="H66" s="37">
        <v>0</v>
      </c>
      <c r="I66" s="32">
        <v>1650</v>
      </c>
      <c r="J66" s="21"/>
      <c r="L66"/>
    </row>
    <row r="67" spans="1:12">
      <c r="A67" s="19" t="s">
        <v>1167</v>
      </c>
      <c r="B67" s="19"/>
      <c r="C67" s="69" t="s">
        <v>649</v>
      </c>
      <c r="D67" s="19"/>
      <c r="E67" s="32">
        <v>12500</v>
      </c>
      <c r="F67" s="32">
        <v>0</v>
      </c>
      <c r="G67" s="36">
        <v>8950</v>
      </c>
      <c r="H67" s="37">
        <f>(G67/11)*12</f>
        <v>9763.636363636364</v>
      </c>
      <c r="I67" s="32">
        <v>12500</v>
      </c>
      <c r="J67" s="21"/>
      <c r="L67"/>
    </row>
    <row r="68" spans="1:12" s="3" customFormat="1" ht="15.75" thickBot="1">
      <c r="A68" s="41"/>
      <c r="B68" s="41"/>
      <c r="C68" s="41" t="s">
        <v>822</v>
      </c>
      <c r="D68" s="41"/>
      <c r="E68" s="167">
        <f>SUM(E64:E67)</f>
        <v>62500</v>
      </c>
      <c r="F68" s="167">
        <f t="shared" ref="F68:I68" si="10">SUM(F64:F67)</f>
        <v>0</v>
      </c>
      <c r="G68" s="167">
        <f t="shared" si="10"/>
        <v>45158.92</v>
      </c>
      <c r="H68" s="167">
        <f t="shared" si="10"/>
        <v>49264.276363636367</v>
      </c>
      <c r="I68" s="167">
        <f t="shared" si="10"/>
        <v>65150</v>
      </c>
      <c r="J68" s="18"/>
      <c r="K68" s="18"/>
    </row>
    <row r="69" spans="1:12" ht="15.75" thickTop="1">
      <c r="A69" s="19"/>
      <c r="B69" s="19"/>
      <c r="C69" s="19"/>
      <c r="D69" s="19"/>
      <c r="E69" s="82"/>
      <c r="F69" s="82"/>
      <c r="G69" s="82"/>
      <c r="H69" s="82"/>
      <c r="I69" s="82"/>
      <c r="J69" s="82"/>
    </row>
    <row r="70" spans="1:12">
      <c r="C70" s="18" t="s">
        <v>1157</v>
      </c>
      <c r="J70" s="21"/>
      <c r="L70"/>
    </row>
    <row r="71" spans="1:12">
      <c r="A71" s="19" t="s">
        <v>1169</v>
      </c>
      <c r="B71" s="19"/>
      <c r="C71" s="69" t="s">
        <v>647</v>
      </c>
      <c r="D71" s="19"/>
      <c r="E71" s="32">
        <v>30000</v>
      </c>
      <c r="F71" s="32">
        <v>0</v>
      </c>
      <c r="G71" s="36">
        <v>27130.18</v>
      </c>
      <c r="H71" s="37">
        <f>(G71/11)*12</f>
        <v>29596.560000000001</v>
      </c>
      <c r="I71" s="32">
        <v>35000</v>
      </c>
      <c r="J71" s="19" t="s">
        <v>13</v>
      </c>
      <c r="L71"/>
    </row>
    <row r="72" spans="1:12" s="3" customFormat="1" ht="15.75" thickBot="1">
      <c r="A72" s="41"/>
      <c r="B72" s="41"/>
      <c r="C72" s="41" t="s">
        <v>1158</v>
      </c>
      <c r="D72" s="41"/>
      <c r="E72" s="167">
        <f>SUM(E71:E71)</f>
        <v>30000</v>
      </c>
      <c r="F72" s="167">
        <f>SUM(F71:F71)</f>
        <v>0</v>
      </c>
      <c r="G72" s="167">
        <f>SUM(G71:G71)</f>
        <v>27130.18</v>
      </c>
      <c r="H72" s="167">
        <f>SUM(H71:H71)</f>
        <v>29596.560000000001</v>
      </c>
      <c r="I72" s="167">
        <f>SUM(I71:I71)</f>
        <v>35000</v>
      </c>
      <c r="J72" s="18"/>
      <c r="K72" s="18"/>
    </row>
    <row r="73" spans="1:12" ht="15.75" thickTop="1">
      <c r="A73" s="19"/>
      <c r="B73" s="19"/>
      <c r="C73" s="19"/>
      <c r="D73" s="19"/>
      <c r="E73" s="82"/>
      <c r="F73" s="82"/>
      <c r="G73" s="82"/>
      <c r="H73" s="82"/>
      <c r="I73" s="82"/>
      <c r="J73" s="82"/>
    </row>
    <row r="74" spans="1:12">
      <c r="C74" s="18" t="s">
        <v>22</v>
      </c>
    </row>
    <row r="75" spans="1:12">
      <c r="A75" s="19" t="s">
        <v>1168</v>
      </c>
      <c r="B75" s="19"/>
      <c r="C75" s="69" t="s">
        <v>650</v>
      </c>
      <c r="D75" s="19"/>
      <c r="E75" s="32">
        <v>26163</v>
      </c>
      <c r="F75" s="32">
        <v>0</v>
      </c>
      <c r="G75" s="32">
        <v>500</v>
      </c>
      <c r="H75" s="32">
        <v>0</v>
      </c>
      <c r="I75" s="32">
        <v>0</v>
      </c>
      <c r="J75" s="21"/>
      <c r="L75"/>
    </row>
    <row r="76" spans="1:12" s="3" customFormat="1" ht="15.75" thickBot="1">
      <c r="A76" s="41"/>
      <c r="B76" s="41"/>
      <c r="C76" s="41" t="s">
        <v>856</v>
      </c>
      <c r="D76" s="41"/>
      <c r="E76" s="167">
        <f>SUM(E75:E75)</f>
        <v>26163</v>
      </c>
      <c r="F76" s="167">
        <f>SUM(F75:F75)</f>
        <v>0</v>
      </c>
      <c r="G76" s="167">
        <f>SUM(G75:G75)</f>
        <v>500</v>
      </c>
      <c r="H76" s="167">
        <f>SUM(H75:H75)</f>
        <v>0</v>
      </c>
      <c r="I76" s="167">
        <f>SUM(I75:I75)</f>
        <v>0</v>
      </c>
      <c r="J76" s="18"/>
      <c r="K76" s="18"/>
    </row>
    <row r="77" spans="1:12" ht="15.75" thickTop="1">
      <c r="A77" s="19"/>
      <c r="B77" s="19"/>
      <c r="C77" s="19"/>
      <c r="D77" s="19"/>
      <c r="E77" s="82"/>
      <c r="F77" s="82"/>
      <c r="G77" s="82"/>
      <c r="H77" s="82"/>
      <c r="I77" s="82"/>
      <c r="J77" s="21"/>
      <c r="L77"/>
    </row>
    <row r="78" spans="1:12">
      <c r="C78" s="18" t="s">
        <v>773</v>
      </c>
      <c r="J78" s="21"/>
      <c r="L78"/>
    </row>
    <row r="79" spans="1:12">
      <c r="A79" s="19" t="s">
        <v>531</v>
      </c>
      <c r="B79" s="19"/>
      <c r="C79" s="69" t="s">
        <v>1289</v>
      </c>
      <c r="D79" s="19"/>
      <c r="E79" s="32">
        <v>0</v>
      </c>
      <c r="F79" s="32">
        <v>0</v>
      </c>
      <c r="G79" s="32">
        <v>0</v>
      </c>
      <c r="H79" s="32">
        <f>500+4524.09+4524.09</f>
        <v>9548.18</v>
      </c>
      <c r="I79" s="32">
        <v>54289</v>
      </c>
      <c r="J79" s="21"/>
      <c r="L79"/>
    </row>
    <row r="80" spans="1:12" s="3" customFormat="1" ht="15.75" thickBot="1">
      <c r="A80" s="41"/>
      <c r="B80" s="41"/>
      <c r="C80" s="41" t="s">
        <v>827</v>
      </c>
      <c r="D80" s="41"/>
      <c r="E80" s="167">
        <f t="shared" ref="E80:I80" si="11">SUM(E79:E79)</f>
        <v>0</v>
      </c>
      <c r="F80" s="167">
        <f t="shared" si="11"/>
        <v>0</v>
      </c>
      <c r="G80" s="167">
        <f t="shared" si="11"/>
        <v>0</v>
      </c>
      <c r="H80" s="167">
        <f t="shared" si="11"/>
        <v>9548.18</v>
      </c>
      <c r="I80" s="167">
        <f t="shared" si="11"/>
        <v>54289</v>
      </c>
      <c r="J80" s="18"/>
      <c r="K80" s="18"/>
    </row>
    <row r="81" spans="1:12" ht="15.75" thickTop="1">
      <c r="J81" s="21"/>
      <c r="L81"/>
    </row>
    <row r="82" spans="1:12" s="3" customFormat="1" ht="15.75" thickBot="1">
      <c r="A82" s="18" t="s">
        <v>933</v>
      </c>
      <c r="B82" s="18"/>
      <c r="C82" s="18"/>
      <c r="D82" s="18"/>
      <c r="E82" s="27">
        <f>E38+E42+E54+E61+E68+E72+E76+E80</f>
        <v>548668</v>
      </c>
      <c r="F82" s="27">
        <f>F38+F42+F54+F61+F68+F72+F76+F80</f>
        <v>0</v>
      </c>
      <c r="G82" s="27">
        <f>G38+G42+G54+G61+G68+G72+G76+G80</f>
        <v>475390.16</v>
      </c>
      <c r="H82" s="27">
        <f>H38+H42+H54+H61+H68+H72+H76+H80</f>
        <v>524130.07809318183</v>
      </c>
      <c r="I82" s="27">
        <f>I38+I42+I54+I61+I68+I72+I76+I80</f>
        <v>628196.25</v>
      </c>
      <c r="J82" s="18"/>
      <c r="K82" s="18"/>
    </row>
    <row r="83" spans="1:12" ht="15.75" thickTop="1"/>
  </sheetData>
  <mergeCells count="3">
    <mergeCell ref="A1:G1"/>
    <mergeCell ref="A6:F6"/>
    <mergeCell ref="A23:I23"/>
  </mergeCells>
  <printOptions horizontalCentered="1"/>
  <pageMargins left="0.7" right="0.7" top="0.75" bottom="0.75" header="0.3" footer="0.3"/>
  <pageSetup scale="72" fitToHeight="0" orientation="landscape" r:id="rId1"/>
  <headerFooter>
    <oddFooter>&amp;L&amp;D&amp;CWorksheet
Page &amp;P&amp;R&amp;T</oddFooter>
  </headerFooter>
  <rowBreaks count="2" manualBreakCount="2">
    <brk id="22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 Summary - General Fund (010)</vt:lpstr>
      <vt:lpstr>Worksheet - General Fund (010)</vt:lpstr>
      <vt:lpstr>Summary - PS Bldg Fund (040)</vt:lpstr>
      <vt:lpstr>Summary - Water Fund (020)</vt:lpstr>
      <vt:lpstr>Worksheet - Water Fund (020)</vt:lpstr>
      <vt:lpstr>Summary - Sewer Fund (021)</vt:lpstr>
      <vt:lpstr>Worksheet - Sewer Fund (021)</vt:lpstr>
      <vt:lpstr>Summary - Garbage Fund (022)</vt:lpstr>
      <vt:lpstr>Worksheet - Garbage Fund (022)</vt:lpstr>
      <vt:lpstr>Summary - Cap Improv (030)</vt:lpstr>
      <vt:lpstr>Worksheet - Cap Improv (030)</vt:lpstr>
      <vt:lpstr>Summary - Cons Trust (080)</vt:lpstr>
      <vt:lpstr>Worksheet - Cons Trust (080)</vt:lpstr>
      <vt:lpstr>Summary - Grand Theater (070)</vt:lpstr>
      <vt:lpstr>Worksheet - Grand Theater (070)</vt:lpstr>
      <vt:lpstr>Summary - Community Dev (110)</vt:lpstr>
      <vt:lpstr>' Summary - General Fund (010)'!Print_Titles</vt:lpstr>
      <vt:lpstr>'Summary - Cap Improv (030)'!Print_Titles</vt:lpstr>
      <vt:lpstr>'Summary - Water Fund (020)'!Print_Titles</vt:lpstr>
      <vt:lpstr>'Worksheet - Garbage Fund (022)'!Print_Titles</vt:lpstr>
      <vt:lpstr>'Worksheet - General Fund (010)'!Print_Titles</vt:lpstr>
      <vt:lpstr>'Worksheet - Sewer Fund (021)'!Print_Titles</vt:lpstr>
      <vt:lpstr>'Worksheet - Water Fund (020)'!Print_Titles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G. Rabe</dc:creator>
  <cp:lastModifiedBy>Shannon Wallace</cp:lastModifiedBy>
  <cp:lastPrinted>2020-12-08T18:38:02Z</cp:lastPrinted>
  <dcterms:created xsi:type="dcterms:W3CDTF">2015-09-24T16:42:04Z</dcterms:created>
  <dcterms:modified xsi:type="dcterms:W3CDTF">2023-07-18T20:30:04Z</dcterms:modified>
</cp:coreProperties>
</file>